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29" activeTab="0"/>
  </bookViews>
  <sheets>
    <sheet name="予選組分" sheetId="1" r:id="rId1"/>
    <sheet name="予選" sheetId="2" r:id="rId2"/>
    <sheet name="予選 (2)" sheetId="3" r:id="rId3"/>
    <sheet name="予選 (3)" sheetId="4" r:id="rId4"/>
    <sheet name="時間表" sheetId="5" r:id="rId5"/>
    <sheet name="2日目トーナメント" sheetId="6" r:id="rId6"/>
    <sheet name="2日目トーナメント (2)" sheetId="7" r:id="rId7"/>
    <sheet name="2日目トーナメント (3)" sheetId="8" r:id="rId8"/>
    <sheet name="U－10（4年）" sheetId="9" r:id="rId9"/>
  </sheets>
  <externalReferences>
    <externalReference r:id="rId12"/>
  </externalReferences>
  <definedNames>
    <definedName name="_xlfn.IFERROR" hidden="1">#NAME?</definedName>
    <definedName name="AⅠ" localSheetId="1">'予選'!$A$11:$G$16</definedName>
    <definedName name="AⅠ" localSheetId="2">'予選 (2)'!$A$11:$G$16</definedName>
    <definedName name="AⅡ" localSheetId="1">'予選'!$A$20:$G$25</definedName>
    <definedName name="Aグループ">'予選'!$BA$11:$BF$22</definedName>
    <definedName name="BⅠ" localSheetId="1">'予選'!$A$41:$G$46</definedName>
    <definedName name="BⅡ" localSheetId="1">'予選'!$A$50:$G$55</definedName>
    <definedName name="Bグループ">'予選'!$BA$41:$BF$52</definedName>
    <definedName name="CⅠ" localSheetId="1">'予選'!$A$71:$G$76</definedName>
    <definedName name="CⅡ" localSheetId="1">'予選'!$A$80:$G$85</definedName>
    <definedName name="Cグループ">'予選'!$BA$71:$BF$82</definedName>
    <definedName name="DⅠ" localSheetId="2">'予選 (2)'!$A$11:$G$16</definedName>
    <definedName name="DⅠ" localSheetId="3">'予選 (3)'!$A$11:$G$16</definedName>
    <definedName name="DⅡ" localSheetId="2">'予選 (2)'!$A$20:$G$25</definedName>
    <definedName name="Dグループ">'予選 (2)'!$AZ$11:$BE$22</definedName>
    <definedName name="EⅠ" localSheetId="2">'予選 (2)'!$A$41:$G$46</definedName>
    <definedName name="EⅡ" localSheetId="2">'予選 (2)'!$A$50:$G$55</definedName>
    <definedName name="Eグループ">'予選 (2)'!$AZ$41:$BE$52</definedName>
    <definedName name="FⅠ" localSheetId="2">'予選 (2)'!$A$71:$G$76</definedName>
    <definedName name="FⅡ" localSheetId="2">'予選 (2)'!$A$80:$G$85</definedName>
    <definedName name="Fグループ">'予選 (2)'!$AZ$71:$BE$82</definedName>
    <definedName name="GⅠ" localSheetId="3">'予選 (3)'!$A$11:$G$16</definedName>
    <definedName name="GⅡ" localSheetId="3">'予選 (3)'!$A$20:$G$25</definedName>
    <definedName name="Gグループ">'予選 (3)'!$AZ$11:$BE$22</definedName>
    <definedName name="HⅠ" localSheetId="3">'予選 (3)'!$A$41:$G$46</definedName>
    <definedName name="HⅡ" localSheetId="3">'予選 (3)'!$A$50:$G$55</definedName>
    <definedName name="Hグループ">'予選 (3)'!$AZ$41:$BE$52</definedName>
    <definedName name="_xlnm.Print_Area" localSheetId="6">'2日目トーナメント (2)'!$A$1:$AE$64</definedName>
    <definedName name="_xlnm.Print_Area" localSheetId="7">'2日目トーナメント (3)'!$A$1:$AE$64</definedName>
    <definedName name="_xlnm.Print_Area" localSheetId="4">'時間表'!$A$1:$N$58</definedName>
    <definedName name="_xlnm.Print_Area" localSheetId="1">'予選'!$A$1:$AQ$92</definedName>
    <definedName name="_xlnm.Print_Area" localSheetId="2">'予選 (2)'!$A$1:$AQ$92</definedName>
    <definedName name="_xlnm.Print_Area" localSheetId="3">'予選 (3)'!$A$1:$AQ$86</definedName>
  </definedNames>
  <calcPr fullCalcOnLoad="1"/>
</workbook>
</file>

<file path=xl/sharedStrings.xml><?xml version="1.0" encoding="utf-8"?>
<sst xmlns="http://schemas.openxmlformats.org/spreadsheetml/2006/main" count="864" uniqueCount="295">
  <si>
    <t>開始時間</t>
  </si>
  <si>
    <t>１位トーナメント</t>
  </si>
  <si>
    <t>２位トーナメント</t>
  </si>
  <si>
    <t>3位トーナメント</t>
  </si>
  <si>
    <t>審判</t>
  </si>
  <si>
    <t>G1</t>
  </si>
  <si>
    <t>H1</t>
  </si>
  <si>
    <t>試　合</t>
  </si>
  <si>
    <t>Ａ1</t>
  </si>
  <si>
    <t>Ｂ1</t>
  </si>
  <si>
    <t>Ｃ1</t>
  </si>
  <si>
    <t>Ｄ1</t>
  </si>
  <si>
    <t>Ｅ1</t>
  </si>
  <si>
    <t>Ｆ1</t>
  </si>
  <si>
    <t>5位トーナメント</t>
  </si>
  <si>
    <t>6位トーナメント</t>
  </si>
  <si>
    <t>Ａ2</t>
  </si>
  <si>
    <t>Ｂ2</t>
  </si>
  <si>
    <t>Ｃ2</t>
  </si>
  <si>
    <t>Ｄ2</t>
  </si>
  <si>
    <t>Ｆ2</t>
  </si>
  <si>
    <t>G2</t>
  </si>
  <si>
    <t>H2</t>
  </si>
  <si>
    <t>Ａ3</t>
  </si>
  <si>
    <t>Ｂ3</t>
  </si>
  <si>
    <t>Ｃ3</t>
  </si>
  <si>
    <t>Ｄ3</t>
  </si>
  <si>
    <t>Ｅ3</t>
  </si>
  <si>
    <t>Ｆ3</t>
  </si>
  <si>
    <t>G3</t>
  </si>
  <si>
    <t>H3</t>
  </si>
  <si>
    <t>Ａ4</t>
  </si>
  <si>
    <t>Ｂ4</t>
  </si>
  <si>
    <t>Ｃ4</t>
  </si>
  <si>
    <t>Ｄ4</t>
  </si>
  <si>
    <t>Ｅ4</t>
  </si>
  <si>
    <t>Ｆ4</t>
  </si>
  <si>
    <t>G4</t>
  </si>
  <si>
    <t>H4</t>
  </si>
  <si>
    <t>Ａ5</t>
  </si>
  <si>
    <t>Ｂ5</t>
  </si>
  <si>
    <t>Ｃ5</t>
  </si>
  <si>
    <t>Ｄ5</t>
  </si>
  <si>
    <t>Ｅ5</t>
  </si>
  <si>
    <t>Ｆ5</t>
  </si>
  <si>
    <t>G5</t>
  </si>
  <si>
    <t>H5</t>
  </si>
  <si>
    <t>Ａ6</t>
  </si>
  <si>
    <t>Ｂ6</t>
  </si>
  <si>
    <t>Ｃ6</t>
  </si>
  <si>
    <t>Ｄ6</t>
  </si>
  <si>
    <t>Ｅ6</t>
  </si>
  <si>
    <t>Ｆ6</t>
  </si>
  <si>
    <t>G6</t>
  </si>
  <si>
    <t>H6</t>
  </si>
  <si>
    <t>-</t>
  </si>
  <si>
    <t>フレンドリー戦は　15分－5分－15分</t>
  </si>
  <si>
    <t>勝順</t>
  </si>
  <si>
    <t>得順</t>
  </si>
  <si>
    <t>差順</t>
  </si>
  <si>
    <t>合計</t>
  </si>
  <si>
    <t>・</t>
  </si>
  <si>
    <t>勝</t>
  </si>
  <si>
    <t>分</t>
  </si>
  <si>
    <t>負</t>
  </si>
  <si>
    <t>得点</t>
  </si>
  <si>
    <t>得失</t>
  </si>
  <si>
    <t>勝点</t>
  </si>
  <si>
    <t>順位</t>
  </si>
  <si>
    <t>失点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</si>
  <si>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</si>
  <si>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</si>
  <si>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</si>
  <si>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</si>
  <si>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</si>
  <si>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</si>
  <si>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</si>
  <si>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</si>
  <si>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</si>
  <si>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グループⅠ</t>
  </si>
  <si>
    <t>グループⅡ</t>
  </si>
  <si>
    <r>
      <t>Ⅰの1位</t>
    </r>
    <r>
      <rPr>
        <b/>
        <sz val="11"/>
        <color indexed="8"/>
        <rFont val="HG丸ｺﾞｼｯｸM-PRO"/>
        <family val="3"/>
      </rPr>
      <t>：</t>
    </r>
  </si>
  <si>
    <r>
      <t>Ⅱの1位</t>
    </r>
    <r>
      <rPr>
        <b/>
        <sz val="11"/>
        <color indexed="8"/>
        <rFont val="HG丸ｺﾞｼｯｸM-PRO"/>
        <family val="3"/>
      </rPr>
      <t>：</t>
    </r>
  </si>
  <si>
    <t>最終
順</t>
  </si>
  <si>
    <r>
      <t>Ⅰの2位</t>
    </r>
    <r>
      <rPr>
        <b/>
        <sz val="11"/>
        <color indexed="8"/>
        <rFont val="HG丸ｺﾞｼｯｸM-PRO"/>
        <family val="3"/>
      </rPr>
      <t>：</t>
    </r>
  </si>
  <si>
    <r>
      <t>Ⅱの2位</t>
    </r>
    <r>
      <rPr>
        <b/>
        <sz val="11"/>
        <color indexed="8"/>
        <rFont val="HG丸ｺﾞｼｯｸM-PRO"/>
        <family val="3"/>
      </rPr>
      <t>：</t>
    </r>
  </si>
  <si>
    <r>
      <t>Ⅰの3位</t>
    </r>
    <r>
      <rPr>
        <b/>
        <sz val="11"/>
        <color indexed="8"/>
        <rFont val="HG丸ｺﾞｼｯｸM-PRO"/>
        <family val="3"/>
      </rPr>
      <t>：</t>
    </r>
  </si>
  <si>
    <r>
      <t>Ⅱの3位</t>
    </r>
    <r>
      <rPr>
        <b/>
        <sz val="11"/>
        <color indexed="8"/>
        <rFont val="HG丸ｺﾞｼｯｸM-PRO"/>
        <family val="3"/>
      </rPr>
      <t>：</t>
    </r>
  </si>
  <si>
    <t>グループ</t>
  </si>
  <si>
    <t>H</t>
  </si>
  <si>
    <t>第</t>
  </si>
  <si>
    <t>位</t>
  </si>
  <si>
    <t>予選リーグ　順位表</t>
  </si>
  <si>
    <t>最終</t>
  </si>
  <si>
    <t>会場</t>
  </si>
  <si>
    <t>チーム</t>
  </si>
  <si>
    <t>A</t>
  </si>
  <si>
    <t>Ⅰ</t>
  </si>
  <si>
    <t>Ⅱ</t>
  </si>
  <si>
    <t>B</t>
  </si>
  <si>
    <t>C</t>
  </si>
  <si>
    <t>D</t>
  </si>
  <si>
    <t>E</t>
  </si>
  <si>
    <t>F</t>
  </si>
  <si>
    <t>G</t>
  </si>
  <si>
    <t>H</t>
  </si>
  <si>
    <t>E2</t>
  </si>
  <si>
    <t>Aグループ</t>
  </si>
  <si>
    <t>Bグループ</t>
  </si>
  <si>
    <t>Cグループ</t>
  </si>
  <si>
    <t>Dグループ</t>
  </si>
  <si>
    <t>Eグループ</t>
  </si>
  <si>
    <t>Fグループ</t>
  </si>
  <si>
    <t>Gグループ</t>
  </si>
  <si>
    <t>Hグループ</t>
  </si>
  <si>
    <t>予選リーグ　１５分-５分-１５分</t>
  </si>
  <si>
    <t>順位決定戦　１５分-5分-１５分</t>
  </si>
  <si>
    <t>予選　　　　　　１５分―５分―１５分</t>
  </si>
  <si>
    <t>順位決定戦　　　１５分―５分―１５分</t>
  </si>
  <si>
    <t>４位トーナメント</t>
  </si>
  <si>
    <t>ブロック</t>
  </si>
  <si>
    <t>Ⅰ</t>
  </si>
  <si>
    <t>Ⅱ</t>
  </si>
  <si>
    <t>PK</t>
  </si>
  <si>
    <t>泉</t>
  </si>
  <si>
    <t>奈良伏見</t>
  </si>
  <si>
    <t>あやめ池</t>
  </si>
  <si>
    <t>生野朝鮮初級</t>
  </si>
  <si>
    <t>Del Sole Shiki</t>
  </si>
  <si>
    <t>高石中央</t>
  </si>
  <si>
    <t>ディスパーロ</t>
  </si>
  <si>
    <t>②10:10</t>
  </si>
  <si>
    <t>①9:30</t>
  </si>
  <si>
    <t>③10：50</t>
  </si>
  <si>
    <t>④11:30</t>
  </si>
  <si>
    <t>⑤12:10</t>
  </si>
  <si>
    <t>⑥12:50</t>
  </si>
  <si>
    <t>⑦13:30</t>
  </si>
  <si>
    <t>⑧14:10</t>
  </si>
  <si>
    <t>⑨14:50</t>
  </si>
  <si>
    <t>⑩15:３０</t>
  </si>
  <si>
    <t>審判は終わり審の勝ち主審でお願いいたします。</t>
  </si>
  <si>
    <t>　平城小学校会場</t>
  </si>
  <si>
    <t>　東市小学校会場</t>
  </si>
  <si>
    <t>第3１回 東市杯少年サッカー大会</t>
  </si>
  <si>
    <t>第1日目（2017.8.5）　　予選ブロック　組分け表</t>
  </si>
  <si>
    <t>奈良YMCA</t>
  </si>
  <si>
    <t>岩出市</t>
  </si>
  <si>
    <t>鴻池多目的Ｇ</t>
  </si>
  <si>
    <t>南部生涯Ｇ</t>
  </si>
  <si>
    <t>鴻池投擲場Ｇ</t>
  </si>
  <si>
    <t>西部生涯Ｇ</t>
  </si>
  <si>
    <t>鴻池サブＧ（Ａ）</t>
  </si>
  <si>
    <t>鴻池サブＧ（Ｂ）</t>
  </si>
  <si>
    <t>GINGA</t>
  </si>
  <si>
    <t>富雄第三</t>
  </si>
  <si>
    <t>奈良FCjr</t>
  </si>
  <si>
    <t>門真北風</t>
  </si>
  <si>
    <t>センチュリー</t>
  </si>
  <si>
    <t>アルボーレ</t>
  </si>
  <si>
    <t>FCうりぼう</t>
  </si>
  <si>
    <t>ﾃﾞｨｱﾌﾞﾛｯｻ大阪</t>
  </si>
  <si>
    <t>ﾊﾟﾙﾃｨｰﾀﾞ生駒</t>
  </si>
  <si>
    <t>エルマーノ大阪</t>
  </si>
  <si>
    <t>ｿﾚｽﾃﾚｰｼﾞｬ</t>
  </si>
  <si>
    <t>ひじり</t>
  </si>
  <si>
    <t>STELO</t>
  </si>
  <si>
    <t>都南東市</t>
  </si>
  <si>
    <t>アーヴォリ</t>
  </si>
  <si>
    <t>下　田</t>
  </si>
  <si>
    <t>三　笠</t>
  </si>
  <si>
    <t>白　鷺</t>
  </si>
  <si>
    <t>矢　倉</t>
  </si>
  <si>
    <t>柏　田</t>
  </si>
  <si>
    <t>高　市</t>
  </si>
  <si>
    <t>辰　市</t>
  </si>
  <si>
    <t>金　田</t>
  </si>
  <si>
    <t>朱　雀</t>
  </si>
  <si>
    <t>石　津</t>
  </si>
  <si>
    <t>鳥　見</t>
  </si>
  <si>
    <t>大　原</t>
  </si>
  <si>
    <t>富　雄</t>
  </si>
  <si>
    <t>水　戸</t>
  </si>
  <si>
    <t>桜　井</t>
  </si>
  <si>
    <t>六　条</t>
  </si>
  <si>
    <t>野　畑</t>
  </si>
  <si>
    <t>蔵　持</t>
  </si>
  <si>
    <t>明　治</t>
  </si>
  <si>
    <t>CAOS</t>
  </si>
  <si>
    <t>★予選リーグ　８月５日（土）</t>
  </si>
  <si>
    <t>１日目（８月５日）</t>
  </si>
  <si>
    <t>二日目　順位トーナメント（８月６日）</t>
  </si>
  <si>
    <t>15分－5分－15分</t>
  </si>
  <si>
    <t>鴻池多目的会場</t>
  </si>
  <si>
    <t>　　　　南部生涯会場</t>
  </si>
  <si>
    <t>　西部生涯会場</t>
  </si>
  <si>
    <t>　辰市小学校会場</t>
  </si>
  <si>
    <t>ﾃﾞｨｱﾌﾞﾛｯｻ高田</t>
  </si>
  <si>
    <t>滋賀ｾﾝﾄﾗﾙ</t>
  </si>
  <si>
    <t>第31回　東市杯　Ｕ－１０（８月５日）</t>
  </si>
  <si>
    <t>会場：平城小学校G</t>
  </si>
  <si>
    <t>⑥</t>
  </si>
  <si>
    <t>①</t>
  </si>
  <si>
    <t>富雄第三</t>
  </si>
  <si>
    <t>ハヤマ
グリーン</t>
  </si>
  <si>
    <t>大　原</t>
  </si>
  <si>
    <t>滋賀ｾﾝﾄﾗﾙ</t>
  </si>
  <si>
    <t>奈良ＦＣ
ｊｒ</t>
  </si>
  <si>
    <t>六　条</t>
  </si>
  <si>
    <t>⑨</t>
  </si>
  <si>
    <t>⑩</t>
  </si>
  <si>
    <t>Ｔｉｍｅ</t>
  </si>
  <si>
    <t>奈良ＦＣｊｒ</t>
  </si>
  <si>
    <t>①勝ち</t>
  </si>
  <si>
    <t>③</t>
  </si>
  <si>
    <t>奈良Ｆｃｊｒ</t>
  </si>
  <si>
    <t>②勝ち</t>
  </si>
  <si>
    <t>六条</t>
  </si>
  <si>
    <t>③勝ち</t>
  </si>
  <si>
    <t>④勝ち</t>
  </si>
  <si>
    <t>⑤勝ち</t>
  </si>
  <si>
    <t>⑥勝ち</t>
  </si>
  <si>
    <t>⑧</t>
  </si>
  <si>
    <t>⑦勝ち</t>
  </si>
  <si>
    <t>⑨</t>
  </si>
  <si>
    <t>⑧勝ち</t>
  </si>
  <si>
    <t>⑨勝ち</t>
  </si>
  <si>
    <t>⑩勝ち</t>
  </si>
  <si>
    <t>⑫</t>
  </si>
  <si>
    <t>⑪勝ち</t>
  </si>
  <si>
    <t>④</t>
  </si>
  <si>
    <t>ｿﾚｽﾃﾚｰｼﾞｬ</t>
  </si>
  <si>
    <t>⑩</t>
  </si>
  <si>
    <t>⑧</t>
  </si>
  <si>
    <t>②</t>
  </si>
  <si>
    <t>⑦</t>
  </si>
  <si>
    <t>⑫</t>
  </si>
  <si>
    <t>⑪</t>
  </si>
  <si>
    <t>②</t>
  </si>
  <si>
    <t>ｿﾚｽﾃﾚｰｼﾞｬ</t>
  </si>
  <si>
    <t>Ｈｏｐｅ</t>
  </si>
  <si>
    <t>⑤</t>
  </si>
  <si>
    <t>⑦</t>
  </si>
  <si>
    <t>Ｒｅｆ</t>
  </si>
  <si>
    <t>①</t>
  </si>
  <si>
    <t>ハヤマグリーン</t>
  </si>
  <si>
    <t>③</t>
  </si>
  <si>
    <t>Ｈｏｐｅ</t>
  </si>
  <si>
    <t>⑤</t>
  </si>
  <si>
    <t>⑥</t>
  </si>
  <si>
    <t>⑪</t>
  </si>
  <si>
    <t>USFC</t>
  </si>
  <si>
    <t>柏原キッズ</t>
  </si>
  <si>
    <t>川西小学校Ｇ</t>
  </si>
  <si>
    <t>東市小学校G</t>
  </si>
  <si>
    <t>(3</t>
  </si>
  <si>
    <t>2)</t>
  </si>
  <si>
    <t>P</t>
  </si>
  <si>
    <t>K</t>
  </si>
  <si>
    <t>３－０</t>
  </si>
  <si>
    <t>１－３</t>
  </si>
  <si>
    <t>０－２</t>
  </si>
  <si>
    <t>１－１
PK3-2</t>
  </si>
  <si>
    <t>０－２</t>
  </si>
  <si>
    <t>２－１</t>
  </si>
  <si>
    <t>０－２</t>
  </si>
  <si>
    <t>０－２</t>
  </si>
  <si>
    <t>０－６</t>
  </si>
  <si>
    <t>Hope</t>
  </si>
  <si>
    <t>１－１</t>
  </si>
  <si>
    <t>０－４</t>
  </si>
  <si>
    <t>０－７</t>
  </si>
  <si>
    <t>パルティーダ
生駒</t>
  </si>
  <si>
    <t>ソレステレージャ</t>
  </si>
  <si>
    <t>滋賀
ｾﾝﾄﾗﾙ</t>
  </si>
  <si>
    <r>
      <rPr>
        <sz val="6"/>
        <rFont val="HG丸ｺﾞｼｯｸM-PRO"/>
        <family val="3"/>
      </rPr>
      <t>ディアブロッサ</t>
    </r>
    <r>
      <rPr>
        <sz val="8"/>
        <rFont val="HG丸ｺﾞｼｯｸM-PRO"/>
        <family val="3"/>
      </rPr>
      <t xml:space="preserve">
高田</t>
    </r>
  </si>
  <si>
    <t>1-1</t>
  </si>
  <si>
    <t>3PK2</t>
  </si>
  <si>
    <t>柏田</t>
  </si>
  <si>
    <r>
      <rPr>
        <sz val="6"/>
        <rFont val="HG丸ｺﾞｼｯｸM-PRO"/>
        <family val="3"/>
      </rPr>
      <t>ディアブロッサ</t>
    </r>
    <r>
      <rPr>
        <sz val="8"/>
        <rFont val="HG丸ｺﾞｼｯｸM-PRO"/>
        <family val="3"/>
      </rPr>
      <t xml:space="preserve">
大阪</t>
    </r>
  </si>
  <si>
    <t>3-0</t>
  </si>
  <si>
    <t>ひじり</t>
  </si>
  <si>
    <t>水戸</t>
  </si>
  <si>
    <t>都南東市</t>
  </si>
  <si>
    <t>2-0</t>
  </si>
  <si>
    <t>パルティーダ生駒</t>
  </si>
  <si>
    <t>5PK6</t>
  </si>
  <si>
    <t>2PK0</t>
  </si>
  <si>
    <t>大原</t>
  </si>
  <si>
    <t>2-1</t>
  </si>
  <si>
    <t>六条</t>
  </si>
  <si>
    <t>3PK2</t>
  </si>
  <si>
    <t>5PK6</t>
  </si>
  <si>
    <t>2-3</t>
  </si>
  <si>
    <t>ソレステレージャ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</si>
</sst>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sz val="22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11"/>
      <color indexed="8"/>
      <name val="HG丸ｺﾞｼｯｸM-PRO"/>
      <family val="3"/>
    </font>
    <font>
      <sz val="6"/>
      <name val="HG丸ｺﾞｼｯｸM-PRO"/>
      <family val="3"/>
    </font>
    <font>
      <b/>
      <sz val="14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2"/>
      <color indexed="9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10"/>
      <name val="HG丸ｺﾞｼｯｸM-PRO"/>
      <family val="3"/>
    </font>
    <font>
      <b/>
      <sz val="14"/>
      <color indexed="8"/>
      <name val="HG丸ｺﾞｼｯｸM-PRO"/>
      <family val="3"/>
    </font>
    <font>
      <sz val="6"/>
      <color indexed="8"/>
      <name val="HG丸ｺﾞｼｯｸM-PRO"/>
      <family val="3"/>
    </font>
    <font>
      <sz val="6"/>
      <color indexed="9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AR P丸ゴシック体M04"/>
      <family val="3"/>
    </font>
    <font>
      <sz val="9"/>
      <color indexed="8"/>
      <name val="HG丸ｺﾞｼｯｸM-PRO"/>
      <family val="3"/>
    </font>
    <font>
      <b/>
      <sz val="11"/>
      <color indexed="9"/>
      <name val="HG丸ｺﾞｼｯｸM-PRO"/>
      <family val="3"/>
    </font>
    <font>
      <sz val="16"/>
      <color indexed="8"/>
      <name val="HG丸ｺﾞｼｯｸM-PRO"/>
      <family val="3"/>
    </font>
    <font>
      <sz val="22"/>
      <color indexed="8"/>
      <name val="AR明朝体04U"/>
      <family val="1"/>
    </font>
    <font>
      <sz val="14"/>
      <color indexed="8"/>
      <name val="AR P明朝体04U"/>
      <family val="1"/>
    </font>
    <font>
      <b/>
      <sz val="12"/>
      <color indexed="8"/>
      <name val="AR P丸ゴシック体M04"/>
      <family val="3"/>
    </font>
    <font>
      <sz val="12"/>
      <color indexed="8"/>
      <name val="AR P丸ゴシック体M04"/>
      <family val="3"/>
    </font>
    <font>
      <b/>
      <sz val="11"/>
      <color indexed="8"/>
      <name val="AR P丸ゴシック体M04"/>
      <family val="3"/>
    </font>
    <font>
      <sz val="9"/>
      <color indexed="8"/>
      <name val="AR P丸ゴシック体M04"/>
      <family val="3"/>
    </font>
    <font>
      <sz val="8"/>
      <color indexed="8"/>
      <name val="AR P丸ゴシック体M04"/>
      <family val="3"/>
    </font>
    <font>
      <sz val="1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2"/>
      <color theme="0"/>
      <name val="HG丸ｺﾞｼｯｸM-PRO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rgb="FFFF0000"/>
      <name val="HG丸ｺﾞｼｯｸM-PRO"/>
      <family val="3"/>
    </font>
    <font>
      <b/>
      <sz val="14"/>
      <color theme="1"/>
      <name val="HG丸ｺﾞｼｯｸM-PRO"/>
      <family val="3"/>
    </font>
    <font>
      <sz val="6"/>
      <color theme="1"/>
      <name val="HG丸ｺﾞｼｯｸM-PRO"/>
      <family val="3"/>
    </font>
    <font>
      <sz val="6"/>
      <color theme="0"/>
      <name val="HG丸ｺﾞｼｯｸM-PRO"/>
      <family val="3"/>
    </font>
    <font>
      <sz val="8"/>
      <color theme="1"/>
      <name val="HG丸ｺﾞｼｯｸM-PRO"/>
      <family val="3"/>
    </font>
    <font>
      <sz val="11"/>
      <color theme="1"/>
      <name val="AR P丸ゴシック体M04"/>
      <family val="3"/>
    </font>
    <font>
      <sz val="9"/>
      <color theme="1"/>
      <name val="HG丸ｺﾞｼｯｸM-PRO"/>
      <family val="3"/>
    </font>
    <font>
      <b/>
      <sz val="11"/>
      <color rgb="FFFFFFFF"/>
      <name val="HG丸ｺﾞｼｯｸM-PRO"/>
      <family val="3"/>
    </font>
    <font>
      <sz val="16"/>
      <color theme="1"/>
      <name val="HG丸ｺﾞｼｯｸM-PRO"/>
      <family val="3"/>
    </font>
    <font>
      <sz val="12"/>
      <color theme="1"/>
      <name val="AR P丸ゴシック体M04"/>
      <family val="3"/>
    </font>
    <font>
      <sz val="8"/>
      <color theme="1"/>
      <name val="AR P丸ゴシック体M04"/>
      <family val="3"/>
    </font>
    <font>
      <sz val="9"/>
      <color theme="1"/>
      <name val="AR P丸ゴシック体M04"/>
      <family val="3"/>
    </font>
    <font>
      <b/>
      <sz val="11"/>
      <color theme="1"/>
      <name val="AR P丸ゴシック体M04"/>
      <family val="3"/>
    </font>
    <font>
      <b/>
      <sz val="12"/>
      <color theme="1"/>
      <name val="AR P丸ゴシック体M04"/>
      <family val="3"/>
    </font>
    <font>
      <sz val="22"/>
      <color theme="1"/>
      <name val="AR明朝体04U"/>
      <family val="1"/>
    </font>
    <font>
      <sz val="14"/>
      <color theme="1"/>
      <name val="AR P明朝体04U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dotted"/>
    </border>
    <border>
      <left style="thin"/>
      <right/>
      <top style="medium"/>
      <bottom style="dotted"/>
    </border>
    <border>
      <left style="medium"/>
      <right style="thin"/>
      <top style="dotted"/>
      <bottom style="dotted"/>
    </border>
    <border>
      <left style="thin"/>
      <right/>
      <top style="dotted"/>
      <bottom style="dotted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/>
      <right/>
      <top style="medium"/>
      <bottom style="dotted"/>
    </border>
    <border>
      <left/>
      <right/>
      <top style="dotted"/>
      <bottom style="dotted"/>
    </border>
    <border>
      <left/>
      <right style="thin"/>
      <top/>
      <bottom/>
    </border>
    <border>
      <left/>
      <right/>
      <top style="dotted"/>
      <bottom/>
    </border>
    <border>
      <left/>
      <right/>
      <top style="dotted"/>
      <bottom style="medium"/>
    </border>
    <border>
      <left style="thin"/>
      <right/>
      <top style="dotted"/>
      <bottom/>
    </border>
    <border>
      <left/>
      <right style="thin"/>
      <top style="medium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/>
      <top style="medium"/>
      <bottom style="medium"/>
    </border>
    <border>
      <left style="thick">
        <color rgb="FFFF0000"/>
      </left>
      <right/>
      <top/>
      <bottom style="medium"/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ck">
        <color rgb="FFFF0000"/>
      </right>
      <top style="medium">
        <color theme="1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tted"/>
    </border>
    <border>
      <left/>
      <right/>
      <top style="hair"/>
      <bottom style="medium"/>
    </border>
    <border>
      <left/>
      <right/>
      <top style="hair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/>
      <bottom style="thin"/>
    </border>
    <border diagonalDown="1">
      <left style="medium"/>
      <right/>
      <top>
        <color indexed="63"/>
      </top>
      <bottom style="thin"/>
      <diagonal style="thin"/>
    </border>
    <border diagonalDown="1">
      <left style="medium"/>
      <right/>
      <top style="thin"/>
      <bottom style="thin"/>
      <diagonal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/>
      <top style="medium">
        <color theme="1"/>
      </top>
      <bottom style="medium"/>
    </border>
    <border>
      <left/>
      <right style="thick">
        <color rgb="FFFF0000"/>
      </right>
      <top style="medium">
        <color theme="1"/>
      </top>
      <bottom style="medium"/>
    </border>
    <border>
      <left style="thick">
        <color rgb="FFFF0000"/>
      </left>
      <right/>
      <top style="thick">
        <color rgb="FFFF0000"/>
      </top>
      <bottom style="medium"/>
    </border>
    <border>
      <left/>
      <right/>
      <top style="thick">
        <color rgb="FFFF0000"/>
      </top>
      <bottom style="medium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>
        <color indexed="63"/>
      </top>
      <bottom style="thin"/>
      <diagonal style="thin"/>
    </border>
    <border>
      <left style="medium"/>
      <right style="medium"/>
      <top style="dotted"/>
      <bottom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 style="thin"/>
      <right style="medium"/>
      <top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/>
      <right style="medium"/>
      <top style="medium"/>
      <bottom style="medium"/>
    </border>
    <border>
      <left style="medium"/>
      <right style="thin"/>
      <top style="dotted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/>
      <top/>
      <bottom/>
    </border>
    <border>
      <left style="medium">
        <color rgb="FFFF0000"/>
      </left>
      <right/>
      <top/>
      <bottom style="medium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/>
      <right style="thick">
        <color rgb="FFFF0000"/>
      </right>
      <top style="thick">
        <color rgb="FFFF0000"/>
      </top>
      <bottom/>
    </border>
    <border>
      <left/>
      <right/>
      <top style="hair"/>
      <bottom style="thick">
        <color rgb="FFFF0000"/>
      </bottom>
    </border>
    <border>
      <left/>
      <right style="thick">
        <color rgb="FFFF0000"/>
      </right>
      <top style="hair"/>
      <bottom style="thick">
        <color rgb="FFFF0000"/>
      </bottom>
    </border>
    <border>
      <left/>
      <right style="thick">
        <color rgb="FFFF0000"/>
      </right>
      <top style="medium"/>
      <bottom/>
    </border>
    <border>
      <left style="thick">
        <color rgb="FFFF0000"/>
      </left>
      <right/>
      <top/>
      <bottom style="dotted"/>
    </border>
    <border>
      <left/>
      <right style="thick">
        <color rgb="FFFF0000"/>
      </right>
      <top/>
      <bottom style="medium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dotted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ck">
        <color rgb="FFFF0000"/>
      </left>
      <right/>
      <top style="hair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0" fontId="73" fillId="0" borderId="0" xfId="60" applyFont="1" applyAlignment="1">
      <alignment vertical="center" shrinkToFit="1"/>
      <protection/>
    </xf>
    <xf numFmtId="0" fontId="73" fillId="0" borderId="0" xfId="60" applyFont="1" applyAlignment="1">
      <alignment horizontal="center" vertical="center" shrinkToFit="1"/>
      <protection/>
    </xf>
    <xf numFmtId="0" fontId="73" fillId="0" borderId="0" xfId="60" applyFont="1" applyBorder="1" applyAlignment="1">
      <alignment vertical="center" shrinkToFit="1"/>
      <protection/>
    </xf>
    <xf numFmtId="176" fontId="73" fillId="0" borderId="0" xfId="60" applyNumberFormat="1" applyFont="1" applyBorder="1" applyAlignment="1">
      <alignment horizontal="center" vertical="center" shrinkToFit="1"/>
      <protection/>
    </xf>
    <xf numFmtId="0" fontId="73" fillId="0" borderId="0" xfId="60" applyFont="1" applyFill="1" applyAlignment="1">
      <alignment vertical="center" shrinkToFit="1"/>
      <protection/>
    </xf>
    <xf numFmtId="0" fontId="74" fillId="0" borderId="0" xfId="60" applyFont="1" applyBorder="1" applyAlignment="1">
      <alignment horizontal="center" vertical="center" shrinkToFit="1"/>
      <protection/>
    </xf>
    <xf numFmtId="0" fontId="75" fillId="0" borderId="0" xfId="60" applyFont="1" applyBorder="1" applyAlignment="1">
      <alignment vertical="center" shrinkToFit="1"/>
      <protection/>
    </xf>
    <xf numFmtId="0" fontId="73" fillId="0" borderId="0" xfId="60" applyFont="1" applyFill="1" applyBorder="1" applyAlignment="1">
      <alignment vertical="center" shrinkToFit="1"/>
      <protection/>
    </xf>
    <xf numFmtId="0" fontId="73" fillId="0" borderId="0" xfId="60" applyFont="1" applyFill="1" applyBorder="1" applyAlignment="1">
      <alignment horizontal="center" vertical="center" shrinkToFit="1"/>
      <protection/>
    </xf>
    <xf numFmtId="0" fontId="74" fillId="0" borderId="0" xfId="60" applyFont="1" applyFill="1" applyBorder="1" applyAlignment="1">
      <alignment horizontal="center" vertical="center" shrinkToFit="1"/>
      <protection/>
    </xf>
    <xf numFmtId="0" fontId="75" fillId="0" borderId="0" xfId="60" applyFont="1" applyBorder="1" applyAlignment="1">
      <alignment horizontal="right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73" fillId="0" borderId="0" xfId="60" applyFont="1" applyBorder="1" applyAlignment="1">
      <alignment horizontal="right" vertical="center" shrinkToFit="1"/>
      <protection/>
    </xf>
    <xf numFmtId="0" fontId="73" fillId="0" borderId="0" xfId="60" applyFont="1" applyFill="1" applyBorder="1" applyAlignment="1">
      <alignment horizontal="right" vertical="center" shrinkToFit="1"/>
      <protection/>
    </xf>
    <xf numFmtId="0" fontId="74" fillId="0" borderId="0" xfId="60" applyFont="1" applyFill="1" applyBorder="1" applyAlignment="1">
      <alignment horizontal="right" vertical="center" shrinkToFit="1"/>
      <protection/>
    </xf>
    <xf numFmtId="0" fontId="75" fillId="0" borderId="0" xfId="60" applyFont="1" applyFill="1" applyBorder="1" applyAlignment="1">
      <alignment vertical="center" shrinkToFit="1"/>
      <protection/>
    </xf>
    <xf numFmtId="0" fontId="75" fillId="0" borderId="0" xfId="60" applyFont="1" applyFill="1" applyBorder="1" applyAlignment="1">
      <alignment horizontal="right" vertical="center" shrinkToFit="1"/>
      <protection/>
    </xf>
    <xf numFmtId="0" fontId="74" fillId="0" borderId="0" xfId="60" applyFont="1" applyFill="1" applyBorder="1" applyAlignment="1">
      <alignment vertical="center" shrinkToFit="1"/>
      <protection/>
    </xf>
    <xf numFmtId="0" fontId="73" fillId="0" borderId="0" xfId="60" applyFont="1" applyAlignment="1" applyProtection="1">
      <alignment vertical="center" shrinkToFit="1"/>
      <protection hidden="1"/>
    </xf>
    <xf numFmtId="0" fontId="76" fillId="0" borderId="0" xfId="60" applyFont="1" applyAlignment="1" applyProtection="1">
      <alignment vertical="center" shrinkToFit="1"/>
      <protection hidden="1"/>
    </xf>
    <xf numFmtId="0" fontId="73" fillId="0" borderId="0" xfId="60" applyFont="1" applyAlignment="1" applyProtection="1">
      <alignment horizontal="center" vertical="center" shrinkToFit="1"/>
      <protection hidden="1"/>
    </xf>
    <xf numFmtId="0" fontId="73" fillId="0" borderId="0" xfId="60" applyFont="1" applyBorder="1" applyAlignment="1" applyProtection="1">
      <alignment horizontal="center" vertical="center" shrinkToFit="1"/>
      <protection hidden="1"/>
    </xf>
    <xf numFmtId="0" fontId="73" fillId="0" borderId="0" xfId="60" applyFont="1" applyBorder="1" applyAlignment="1" applyProtection="1">
      <alignment vertical="center" shrinkToFit="1"/>
      <protection hidden="1"/>
    </xf>
    <xf numFmtId="176" fontId="73" fillId="0" borderId="0" xfId="60" applyNumberFormat="1" applyFont="1" applyBorder="1" applyAlignment="1" applyProtection="1">
      <alignment horizontal="center" vertical="center" shrinkToFit="1"/>
      <protection hidden="1"/>
    </xf>
    <xf numFmtId="0" fontId="5" fillId="0" borderId="0" xfId="61" applyFont="1" applyFill="1" applyBorder="1" applyAlignment="1" applyProtection="1">
      <alignment vertical="center" shrinkToFit="1"/>
      <protection hidden="1"/>
    </xf>
    <xf numFmtId="0" fontId="74" fillId="0" borderId="0" xfId="60" applyFont="1" applyBorder="1" applyAlignment="1" applyProtection="1">
      <alignment horizontal="center" vertical="center" shrinkToFit="1"/>
      <protection hidden="1"/>
    </xf>
    <xf numFmtId="0" fontId="5" fillId="0" borderId="0" xfId="61" applyFont="1" applyFill="1" applyBorder="1" applyAlignment="1" applyProtection="1">
      <alignment horizontal="center" vertical="center" shrinkToFit="1"/>
      <protection hidden="1"/>
    </xf>
    <xf numFmtId="176" fontId="73" fillId="0" borderId="0" xfId="60" applyNumberFormat="1" applyFont="1" applyBorder="1" applyAlignment="1" applyProtection="1">
      <alignment vertical="center" shrinkToFit="1"/>
      <protection hidden="1"/>
    </xf>
    <xf numFmtId="0" fontId="77" fillId="0" borderId="0" xfId="60" applyFont="1" applyBorder="1" applyAlignment="1" applyProtection="1">
      <alignment horizontal="center" vertical="center" shrinkToFit="1"/>
      <protection hidden="1"/>
    </xf>
    <xf numFmtId="0" fontId="75" fillId="0" borderId="0" xfId="60" applyFont="1" applyBorder="1" applyAlignment="1" applyProtection="1">
      <alignment vertical="center" shrinkToFit="1"/>
      <protection hidden="1"/>
    </xf>
    <xf numFmtId="0" fontId="75" fillId="0" borderId="0" xfId="60" applyFont="1" applyBorder="1" applyAlignment="1" applyProtection="1">
      <alignment horizontal="center" vertical="center" shrinkToFit="1"/>
      <protection hidden="1"/>
    </xf>
    <xf numFmtId="0" fontId="74" fillId="0" borderId="0" xfId="60" applyFont="1" applyFill="1" applyBorder="1" applyAlignment="1" applyProtection="1">
      <alignment vertical="center" shrinkToFit="1"/>
      <protection hidden="1"/>
    </xf>
    <xf numFmtId="0" fontId="73" fillId="0" borderId="0" xfId="60" applyFont="1" applyFill="1" applyBorder="1" applyAlignment="1" applyProtection="1">
      <alignment vertical="center" shrinkToFit="1"/>
      <protection hidden="1"/>
    </xf>
    <xf numFmtId="0" fontId="73" fillId="0" borderId="10" xfId="60" applyFont="1" applyBorder="1" applyAlignment="1" applyProtection="1">
      <alignment vertical="center" shrinkToFit="1"/>
      <protection/>
    </xf>
    <xf numFmtId="0" fontId="73" fillId="0" borderId="11" xfId="60" applyFont="1" applyBorder="1" applyAlignment="1" applyProtection="1">
      <alignment vertical="center" shrinkToFit="1"/>
      <protection/>
    </xf>
    <xf numFmtId="0" fontId="73" fillId="0" borderId="12" xfId="60" applyFont="1" applyBorder="1" applyAlignment="1" applyProtection="1">
      <alignment vertical="center" shrinkToFit="1"/>
      <protection/>
    </xf>
    <xf numFmtId="0" fontId="75" fillId="0" borderId="0" xfId="60" applyFont="1" applyBorder="1" applyAlignment="1" applyProtection="1">
      <alignment vertical="center" shrinkToFit="1"/>
      <protection/>
    </xf>
    <xf numFmtId="0" fontId="75" fillId="0" borderId="13" xfId="60" applyFont="1" applyBorder="1" applyAlignment="1" applyProtection="1">
      <alignment horizontal="center" vertical="center" shrinkToFit="1"/>
      <protection/>
    </xf>
    <xf numFmtId="0" fontId="73" fillId="0" borderId="0" xfId="60" applyFont="1" applyBorder="1" applyAlignment="1" applyProtection="1">
      <alignment horizontal="center" vertical="center" shrinkToFit="1"/>
      <protection/>
    </xf>
    <xf numFmtId="0" fontId="74" fillId="0" borderId="0" xfId="60" applyFont="1" applyBorder="1" applyAlignment="1" applyProtection="1">
      <alignment horizontal="center" vertical="center" shrinkToFit="1"/>
      <protection/>
    </xf>
    <xf numFmtId="0" fontId="73" fillId="0" borderId="0" xfId="60" applyFont="1" applyBorder="1" applyAlignment="1" applyProtection="1">
      <alignment vertical="center" shrinkToFit="1"/>
      <protection/>
    </xf>
    <xf numFmtId="0" fontId="73" fillId="0" borderId="0" xfId="60" applyFont="1" applyFill="1" applyBorder="1" applyAlignment="1" applyProtection="1">
      <alignment horizontal="center" vertical="center" shrinkToFit="1"/>
      <protection hidden="1"/>
    </xf>
    <xf numFmtId="0" fontId="75" fillId="0" borderId="0" xfId="60" applyFont="1" applyFill="1" applyBorder="1" applyAlignment="1" applyProtection="1">
      <alignment vertical="center" shrinkToFit="1"/>
      <protection hidden="1"/>
    </xf>
    <xf numFmtId="0" fontId="75" fillId="0" borderId="0" xfId="60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75" fillId="0" borderId="0" xfId="60" applyFont="1" applyBorder="1" applyAlignment="1" applyProtection="1">
      <alignment horizontal="center" vertical="center" shrinkToFit="1"/>
      <protection/>
    </xf>
    <xf numFmtId="0" fontId="73" fillId="0" borderId="0" xfId="60" applyFont="1" applyFill="1" applyBorder="1" applyAlignment="1" applyProtection="1">
      <alignment horizontal="center" vertical="center" shrinkToFit="1"/>
      <protection/>
    </xf>
    <xf numFmtId="0" fontId="74" fillId="0" borderId="0" xfId="60" applyFont="1" applyFill="1" applyBorder="1" applyAlignment="1" applyProtection="1">
      <alignment horizontal="center" vertical="center" shrinkToFit="1"/>
      <protection/>
    </xf>
    <xf numFmtId="0" fontId="75" fillId="0" borderId="14" xfId="60" applyFont="1" applyBorder="1" applyAlignment="1" applyProtection="1">
      <alignment horizontal="center" vertical="center" shrinkToFit="1"/>
      <protection/>
    </xf>
    <xf numFmtId="0" fontId="73" fillId="0" borderId="0" xfId="60" applyFont="1" applyAlignment="1">
      <alignment horizontal="center" vertical="center" shrinkToFit="1"/>
      <protection/>
    </xf>
    <xf numFmtId="0" fontId="73" fillId="0" borderId="0" xfId="60" applyFont="1" applyBorder="1" applyAlignment="1">
      <alignment horizontal="center" vertical="center" shrinkToFit="1"/>
      <protection/>
    </xf>
    <xf numFmtId="0" fontId="73" fillId="0" borderId="0" xfId="60" applyFont="1" applyAlignment="1" applyProtection="1">
      <alignment vertical="center" shrinkToFit="1"/>
      <protection/>
    </xf>
    <xf numFmtId="0" fontId="73" fillId="0" borderId="0" xfId="60" applyFont="1" applyAlignment="1" applyProtection="1">
      <alignment horizontal="center" vertical="center" shrinkToFit="1"/>
      <protection/>
    </xf>
    <xf numFmtId="0" fontId="76" fillId="0" borderId="0" xfId="60" applyFont="1" applyAlignment="1" applyProtection="1">
      <alignment vertical="center" shrinkToFit="1"/>
      <protection/>
    </xf>
    <xf numFmtId="176" fontId="73" fillId="0" borderId="0" xfId="60" applyNumberFormat="1" applyFont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176" fontId="73" fillId="0" borderId="0" xfId="60" applyNumberFormat="1" applyFont="1" applyBorder="1" applyAlignment="1" applyProtection="1">
      <alignment vertical="center" shrinkToFit="1"/>
      <protection/>
    </xf>
    <xf numFmtId="0" fontId="77" fillId="0" borderId="0" xfId="60" applyFont="1" applyBorder="1" applyAlignment="1" applyProtection="1">
      <alignment horizontal="center" vertical="center" shrinkToFit="1"/>
      <protection/>
    </xf>
    <xf numFmtId="0" fontId="74" fillId="0" borderId="0" xfId="60" applyFont="1" applyFill="1" applyBorder="1" applyAlignment="1" applyProtection="1">
      <alignment vertical="center" shrinkToFit="1"/>
      <protection/>
    </xf>
    <xf numFmtId="0" fontId="73" fillId="0" borderId="0" xfId="60" applyFont="1" applyFill="1" applyBorder="1" applyAlignment="1" applyProtection="1">
      <alignment vertical="center" shrinkToFit="1"/>
      <protection/>
    </xf>
    <xf numFmtId="0" fontId="75" fillId="0" borderId="0" xfId="60" applyFont="1" applyBorder="1" applyAlignment="1" applyProtection="1">
      <alignment horizontal="right" vertical="center" shrinkToFit="1"/>
      <protection/>
    </xf>
    <xf numFmtId="0" fontId="75" fillId="0" borderId="0" xfId="60" applyFont="1" applyFill="1" applyBorder="1" applyAlignment="1" applyProtection="1">
      <alignment horizontal="right" vertical="center" shrinkToFit="1"/>
      <protection/>
    </xf>
    <xf numFmtId="0" fontId="73" fillId="0" borderId="0" xfId="60" applyFont="1" applyFill="1" applyAlignment="1" applyProtection="1">
      <alignment vertical="center" shrinkToFit="1"/>
      <protection/>
    </xf>
    <xf numFmtId="0" fontId="73" fillId="0" borderId="0" xfId="60" applyFont="1" applyBorder="1" applyAlignment="1" applyProtection="1">
      <alignment horizontal="right" vertical="center" shrinkToFit="1"/>
      <protection/>
    </xf>
    <xf numFmtId="0" fontId="73" fillId="0" borderId="0" xfId="60" applyFont="1" applyFill="1" applyBorder="1" applyAlignment="1" applyProtection="1">
      <alignment horizontal="right" vertical="center" shrinkToFit="1"/>
      <protection/>
    </xf>
    <xf numFmtId="0" fontId="74" fillId="0" borderId="0" xfId="60" applyFont="1" applyFill="1" applyBorder="1" applyAlignment="1" applyProtection="1">
      <alignment horizontal="right" vertical="center" shrinkToFit="1"/>
      <protection/>
    </xf>
    <xf numFmtId="0" fontId="73" fillId="0" borderId="10" xfId="60" applyFont="1" applyBorder="1" applyAlignment="1" applyProtection="1">
      <alignment vertical="center" shrinkToFit="1"/>
      <protection hidden="1"/>
    </xf>
    <xf numFmtId="0" fontId="73" fillId="0" borderId="11" xfId="60" applyFont="1" applyBorder="1" applyAlignment="1" applyProtection="1">
      <alignment vertical="center" shrinkToFit="1"/>
      <protection hidden="1"/>
    </xf>
    <xf numFmtId="0" fontId="75" fillId="0" borderId="0" xfId="60" applyFont="1" applyBorder="1" applyAlignment="1" applyProtection="1">
      <alignment horizontal="right" vertical="center" shrinkToFit="1"/>
      <protection hidden="1"/>
    </xf>
    <xf numFmtId="0" fontId="74" fillId="0" borderId="0" xfId="60" applyFont="1" applyFill="1" applyBorder="1" applyAlignment="1" applyProtection="1">
      <alignment horizontal="center" vertical="center" shrinkToFit="1"/>
      <protection hidden="1"/>
    </xf>
    <xf numFmtId="0" fontId="75" fillId="0" borderId="0" xfId="60" applyFont="1" applyFill="1" applyBorder="1" applyAlignment="1" applyProtection="1">
      <alignment horizontal="right" vertical="center" shrinkToFit="1"/>
      <protection hidden="1"/>
    </xf>
    <xf numFmtId="0" fontId="73" fillId="0" borderId="0" xfId="60" applyFont="1" applyFill="1" applyAlignment="1" applyProtection="1">
      <alignment vertical="center" shrinkToFit="1"/>
      <protection hidden="1"/>
    </xf>
    <xf numFmtId="0" fontId="73" fillId="0" borderId="0" xfId="60" applyFont="1" applyBorder="1" applyAlignment="1" applyProtection="1">
      <alignment horizontal="right" vertical="center" shrinkToFit="1"/>
      <protection hidden="1"/>
    </xf>
    <xf numFmtId="0" fontId="73" fillId="0" borderId="0" xfId="60" applyFont="1" applyFill="1" applyBorder="1" applyAlignment="1" applyProtection="1">
      <alignment horizontal="right" vertical="center" shrinkToFit="1"/>
      <protection hidden="1"/>
    </xf>
    <xf numFmtId="0" fontId="74" fillId="0" borderId="0" xfId="60" applyFont="1" applyFill="1" applyBorder="1" applyAlignment="1" applyProtection="1">
      <alignment horizontal="right" vertical="center" shrinkToFit="1"/>
      <protection hidden="1"/>
    </xf>
    <xf numFmtId="0" fontId="75" fillId="0" borderId="14" xfId="60" applyFont="1" applyBorder="1" applyAlignment="1" applyProtection="1">
      <alignment horizontal="center" vertical="center" shrinkToFit="1"/>
      <protection hidden="1"/>
    </xf>
    <xf numFmtId="0" fontId="73" fillId="0" borderId="12" xfId="60" applyFont="1" applyBorder="1" applyAlignment="1" applyProtection="1">
      <alignment vertical="center" shrinkToFit="1"/>
      <protection hidden="1"/>
    </xf>
    <xf numFmtId="0" fontId="75" fillId="0" borderId="0" xfId="6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shrinkToFit="1"/>
      <protection/>
    </xf>
    <xf numFmtId="0" fontId="12" fillId="0" borderId="15" xfId="0" applyFont="1" applyBorder="1" applyAlignment="1" applyProtection="1">
      <alignment horizontal="center" vertical="center" shrinkToFit="1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12" fillId="0" borderId="15" xfId="0" applyFont="1" applyBorder="1" applyAlignment="1" applyProtection="1">
      <alignment vertical="center" shrinkToFit="1"/>
      <protection/>
    </xf>
    <xf numFmtId="0" fontId="3" fillId="0" borderId="21" xfId="0" applyFont="1" applyBorder="1" applyAlignment="1" applyProtection="1">
      <alignment shrinkToFit="1"/>
      <protection/>
    </xf>
    <xf numFmtId="0" fontId="12" fillId="0" borderId="16" xfId="0" applyFont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center" vertical="center" shrinkToFit="1"/>
      <protection/>
    </xf>
    <xf numFmtId="20" fontId="12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73" fillId="0" borderId="0" xfId="6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5" borderId="23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78" fillId="0" borderId="0" xfId="60" applyFont="1" applyAlignment="1" applyProtection="1">
      <alignment horizontal="left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79" fillId="0" borderId="0" xfId="60" applyFont="1" applyAlignment="1" applyProtection="1">
      <alignment vertical="center" shrinkToFit="1"/>
      <protection hidden="1"/>
    </xf>
    <xf numFmtId="0" fontId="75" fillId="0" borderId="0" xfId="60" applyFont="1" applyBorder="1" applyAlignment="1" applyProtection="1">
      <alignment horizontal="center" vertical="center" shrinkToFit="1"/>
      <protection/>
    </xf>
    <xf numFmtId="0" fontId="75" fillId="0" borderId="0" xfId="60" applyFont="1" applyBorder="1" applyAlignment="1" applyProtection="1">
      <alignment horizontal="center" vertical="center" shrinkToFit="1"/>
      <protection/>
    </xf>
    <xf numFmtId="0" fontId="75" fillId="0" borderId="0" xfId="60" applyFont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75" fillId="0" borderId="0" xfId="60" applyFont="1" applyBorder="1" applyAlignment="1" applyProtection="1">
      <alignment horizontal="center" vertical="center" shrinkToFit="1"/>
      <protection/>
    </xf>
    <xf numFmtId="0" fontId="75" fillId="0" borderId="13" xfId="60" applyFont="1" applyBorder="1" applyAlignment="1" applyProtection="1">
      <alignment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 hidden="1"/>
    </xf>
    <xf numFmtId="0" fontId="73" fillId="0" borderId="29" xfId="60" applyFont="1" applyBorder="1" applyAlignment="1" applyProtection="1">
      <alignment horizontal="center" vertical="center" shrinkToFit="1"/>
      <protection/>
    </xf>
    <xf numFmtId="0" fontId="75" fillId="0" borderId="0" xfId="6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75" fillId="0" borderId="0" xfId="60" applyFont="1" applyBorder="1" applyAlignment="1" applyProtection="1">
      <alignment horizontal="center" vertical="center" shrinkToFit="1"/>
      <protection/>
    </xf>
    <xf numFmtId="0" fontId="75" fillId="0" borderId="13" xfId="60" applyFont="1" applyBorder="1" applyAlignment="1" applyProtection="1">
      <alignment vertical="center" shrinkToFit="1"/>
      <protection/>
    </xf>
    <xf numFmtId="0" fontId="78" fillId="0" borderId="0" xfId="60" applyFont="1" applyAlignment="1" applyProtection="1">
      <alignment horizontal="left" vertical="center" shrinkToFit="1"/>
      <protection locked="0"/>
    </xf>
    <xf numFmtId="0" fontId="73" fillId="0" borderId="0" xfId="6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textRotation="255" shrinkToFit="1"/>
      <protection/>
    </xf>
    <xf numFmtId="0" fontId="3" fillId="0" borderId="0" xfId="0" applyFont="1" applyBorder="1" applyAlignment="1" applyProtection="1">
      <alignment horizontal="center" vertical="center" textRotation="255" shrinkToFit="1"/>
      <protection/>
    </xf>
    <xf numFmtId="0" fontId="73" fillId="0" borderId="0" xfId="60" applyFont="1" applyBorder="1" applyAlignment="1" applyProtection="1">
      <alignment horizontal="center" vertical="center" shrinkToFit="1"/>
      <protection hidden="1"/>
    </xf>
    <xf numFmtId="0" fontId="14" fillId="0" borderId="0" xfId="60" applyFont="1" applyFill="1" applyAlignment="1" applyProtection="1">
      <alignment vertical="center" shrinkToFit="1"/>
      <protection hidden="1"/>
    </xf>
    <xf numFmtId="0" fontId="80" fillId="0" borderId="0" xfId="60" applyFont="1" applyFill="1" applyBorder="1" applyAlignment="1" applyProtection="1">
      <alignment horizontal="center" vertical="center" shrinkToFit="1"/>
      <protection hidden="1"/>
    </xf>
    <xf numFmtId="0" fontId="79" fillId="0" borderId="0" xfId="60" applyFont="1" applyFill="1" applyBorder="1" applyAlignment="1" applyProtection="1">
      <alignment horizontal="center" vertical="center" shrinkToFit="1"/>
      <protection hidden="1"/>
    </xf>
    <xf numFmtId="0" fontId="79" fillId="0" borderId="0" xfId="60" applyFont="1" applyFill="1" applyBorder="1" applyAlignment="1" applyProtection="1">
      <alignment vertical="center" shrinkToFit="1"/>
      <protection hidden="1"/>
    </xf>
    <xf numFmtId="0" fontId="14" fillId="0" borderId="0" xfId="61" applyFont="1" applyFill="1" applyBorder="1" applyAlignment="1">
      <alignment horizontal="center" vertical="center" shrinkToFit="1"/>
      <protection/>
    </xf>
    <xf numFmtId="0" fontId="79" fillId="0" borderId="0" xfId="60" applyFont="1" applyFill="1" applyAlignment="1" applyProtection="1">
      <alignment horizontal="center" vertical="center" shrinkToFit="1"/>
      <protection hidden="1"/>
    </xf>
    <xf numFmtId="0" fontId="79" fillId="0" borderId="0" xfId="60" applyFont="1" applyFill="1" applyAlignment="1" applyProtection="1">
      <alignment vertical="center" shrinkToFit="1"/>
      <protection hidden="1"/>
    </xf>
    <xf numFmtId="0" fontId="79" fillId="0" borderId="0" xfId="60" applyFont="1" applyFill="1" applyAlignment="1">
      <alignment vertical="center" shrinkToFit="1"/>
      <protection/>
    </xf>
    <xf numFmtId="0" fontId="81" fillId="0" borderId="0" xfId="60" applyFont="1" applyFill="1" applyAlignment="1" applyProtection="1">
      <alignment horizontal="center" vertical="center" shrinkToFit="1"/>
      <protection hidden="1"/>
    </xf>
    <xf numFmtId="0" fontId="74" fillId="0" borderId="0" xfId="6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 vertical="center" shrinkToFit="1"/>
      <protection locked="0"/>
    </xf>
    <xf numFmtId="0" fontId="3" fillId="6" borderId="20" xfId="0" applyFont="1" applyFill="1" applyBorder="1" applyAlignment="1" applyProtection="1">
      <alignment horizontal="center" vertical="center" shrinkToFit="1"/>
      <protection locked="0"/>
    </xf>
    <xf numFmtId="0" fontId="3" fillId="6" borderId="32" xfId="0" applyFont="1" applyFill="1" applyBorder="1" applyAlignment="1" applyProtection="1">
      <alignment horizontal="center" vertical="center" shrinkToFit="1"/>
      <protection locked="0"/>
    </xf>
    <xf numFmtId="0" fontId="3" fillId="6" borderId="28" xfId="0" applyFont="1" applyFill="1" applyBorder="1" applyAlignment="1" applyProtection="1">
      <alignment horizontal="center" vertical="center" shrinkToFit="1"/>
      <protection locked="0"/>
    </xf>
    <xf numFmtId="0" fontId="3" fillId="6" borderId="31" xfId="0" applyFont="1" applyFill="1" applyBorder="1" applyAlignment="1" applyProtection="1">
      <alignment horizontal="center" vertical="center" shrinkToFit="1"/>
      <protection locked="0"/>
    </xf>
    <xf numFmtId="0" fontId="3" fillId="6" borderId="33" xfId="0" applyFont="1" applyFill="1" applyBorder="1" applyAlignment="1" applyProtection="1">
      <alignment horizontal="center" vertical="center" shrinkToFit="1"/>
      <protection locked="0"/>
    </xf>
    <xf numFmtId="0" fontId="3" fillId="6" borderId="34" xfId="0" applyFont="1" applyFill="1" applyBorder="1" applyAlignment="1" applyProtection="1">
      <alignment horizontal="center" vertical="center" shrinkToFit="1"/>
      <protection locked="0"/>
    </xf>
    <xf numFmtId="0" fontId="3" fillId="6" borderId="30" xfId="0" applyFont="1" applyFill="1" applyBorder="1" applyAlignment="1" applyProtection="1">
      <alignment horizontal="center" vertical="center" shrinkToFit="1"/>
      <protection locked="0"/>
    </xf>
    <xf numFmtId="0" fontId="3" fillId="6" borderId="35" xfId="0" applyFont="1" applyFill="1" applyBorder="1" applyAlignment="1" applyProtection="1">
      <alignment horizontal="center" vertical="center" shrinkToFit="1"/>
      <protection locked="0"/>
    </xf>
    <xf numFmtId="0" fontId="5" fillId="6" borderId="20" xfId="0" applyFont="1" applyFill="1" applyBorder="1" applyAlignment="1" applyProtection="1">
      <alignment horizontal="center" vertical="center" shrinkToFit="1"/>
      <protection locked="0"/>
    </xf>
    <xf numFmtId="0" fontId="3" fillId="6" borderId="36" xfId="0" applyFont="1" applyFill="1" applyBorder="1" applyAlignment="1" applyProtection="1">
      <alignment horizontal="center" vertical="center" shrinkToFit="1"/>
      <protection locked="0"/>
    </xf>
    <xf numFmtId="0" fontId="3" fillId="6" borderId="2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0" fontId="3" fillId="0" borderId="4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5" fillId="0" borderId="0" xfId="61" applyFont="1" applyAlignment="1" applyProtection="1">
      <alignment horizontal="center" vertical="center" shrinkToFit="1"/>
      <protection/>
    </xf>
    <xf numFmtId="0" fontId="82" fillId="0" borderId="0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2" fillId="0" borderId="45" xfId="0" applyFont="1" applyBorder="1" applyAlignment="1">
      <alignment vertical="center"/>
    </xf>
    <xf numFmtId="0" fontId="82" fillId="0" borderId="46" xfId="0" applyFont="1" applyBorder="1" applyAlignment="1">
      <alignment vertical="center"/>
    </xf>
    <xf numFmtId="0" fontId="82" fillId="0" borderId="47" xfId="0" applyFont="1" applyBorder="1" applyAlignment="1">
      <alignment vertical="center"/>
    </xf>
    <xf numFmtId="0" fontId="82" fillId="0" borderId="48" xfId="0" applyFont="1" applyBorder="1" applyAlignment="1">
      <alignment vertical="center"/>
    </xf>
    <xf numFmtId="0" fontId="82" fillId="0" borderId="49" xfId="0" applyFont="1" applyBorder="1" applyAlignment="1">
      <alignment vertical="center"/>
    </xf>
    <xf numFmtId="0" fontId="82" fillId="0" borderId="45" xfId="0" applyFont="1" applyBorder="1" applyAlignment="1">
      <alignment horizontal="right" vertical="center"/>
    </xf>
    <xf numFmtId="0" fontId="82" fillId="0" borderId="50" xfId="0" applyFont="1" applyBorder="1" applyAlignment="1">
      <alignment vertical="center"/>
    </xf>
    <xf numFmtId="0" fontId="82" fillId="0" borderId="51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horizontal="left" vertical="center"/>
    </xf>
    <xf numFmtId="0" fontId="82" fillId="0" borderId="21" xfId="0" applyFont="1" applyBorder="1" applyAlignment="1">
      <alignment vertical="center"/>
    </xf>
    <xf numFmtId="0" fontId="82" fillId="0" borderId="40" xfId="0" applyFont="1" applyBorder="1" applyAlignment="1">
      <alignment vertical="center"/>
    </xf>
    <xf numFmtId="0" fontId="82" fillId="0" borderId="3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73" fillId="0" borderId="40" xfId="60" applyFont="1" applyBorder="1" applyAlignment="1" applyProtection="1">
      <alignment vertical="center" shrinkToFit="1"/>
      <protection hidden="1"/>
    </xf>
    <xf numFmtId="0" fontId="73" fillId="0" borderId="40" xfId="60" applyFont="1" applyBorder="1" applyAlignment="1" applyProtection="1">
      <alignment vertical="center" shrinkToFit="1"/>
      <protection/>
    </xf>
    <xf numFmtId="0" fontId="82" fillId="0" borderId="52" xfId="0" applyFont="1" applyBorder="1" applyAlignment="1">
      <alignment vertical="center"/>
    </xf>
    <xf numFmtId="0" fontId="82" fillId="0" borderId="47" xfId="0" applyFont="1" applyBorder="1" applyAlignment="1">
      <alignment horizontal="right" vertical="center"/>
    </xf>
    <xf numFmtId="0" fontId="82" fillId="0" borderId="53" xfId="0" applyFont="1" applyBorder="1" applyAlignment="1">
      <alignment vertical="center"/>
    </xf>
    <xf numFmtId="0" fontId="82" fillId="0" borderId="37" xfId="0" applyFont="1" applyBorder="1" applyAlignment="1">
      <alignment vertical="center"/>
    </xf>
    <xf numFmtId="0" fontId="82" fillId="0" borderId="54" xfId="0" applyFont="1" applyBorder="1" applyAlignment="1">
      <alignment vertical="center"/>
    </xf>
    <xf numFmtId="0" fontId="82" fillId="0" borderId="37" xfId="0" applyFont="1" applyBorder="1" applyAlignment="1">
      <alignment horizontal="left" vertical="center"/>
    </xf>
    <xf numFmtId="0" fontId="82" fillId="0" borderId="55" xfId="0" applyFont="1" applyBorder="1" applyAlignment="1">
      <alignment vertical="center"/>
    </xf>
    <xf numFmtId="0" fontId="82" fillId="0" borderId="56" xfId="0" applyFont="1" applyBorder="1" applyAlignment="1">
      <alignment vertical="center"/>
    </xf>
    <xf numFmtId="0" fontId="3" fillId="0" borderId="0" xfId="0" applyFont="1" applyAlignment="1" applyProtection="1">
      <alignment wrapText="1"/>
      <protection locked="0"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shrinkToFit="1"/>
      <protection/>
    </xf>
    <xf numFmtId="0" fontId="83" fillId="0" borderId="0" xfId="60" applyFont="1" applyFill="1" applyBorder="1" applyAlignment="1" applyProtection="1">
      <alignment vertical="center" shrinkToFit="1"/>
      <protection hidden="1"/>
    </xf>
    <xf numFmtId="0" fontId="83" fillId="0" borderId="0" xfId="60" applyFont="1" applyFill="1" applyBorder="1" applyAlignment="1" applyProtection="1">
      <alignment horizontal="right" vertical="center" shrinkToFit="1"/>
      <protection hidden="1"/>
    </xf>
    <xf numFmtId="0" fontId="83" fillId="0" borderId="0" xfId="60" applyFont="1" applyFill="1" applyBorder="1" applyAlignment="1" applyProtection="1">
      <alignment vertical="center" shrinkToFit="1"/>
      <protection/>
    </xf>
    <xf numFmtId="0" fontId="83" fillId="0" borderId="0" xfId="60" applyFont="1" applyFill="1" applyBorder="1" applyAlignment="1" applyProtection="1">
      <alignment horizontal="right" vertical="center" shrinkToFit="1"/>
      <protection/>
    </xf>
    <xf numFmtId="0" fontId="83" fillId="0" borderId="0" xfId="60" applyFont="1" applyFill="1" applyBorder="1" applyAlignment="1">
      <alignment vertical="center" shrinkToFit="1"/>
      <protection/>
    </xf>
    <xf numFmtId="0" fontId="83" fillId="0" borderId="0" xfId="60" applyFont="1" applyFill="1" applyBorder="1" applyAlignment="1">
      <alignment horizontal="right" vertical="center" shrinkToFit="1"/>
      <protection/>
    </xf>
    <xf numFmtId="0" fontId="82" fillId="0" borderId="40" xfId="0" applyFont="1" applyBorder="1" applyAlignment="1">
      <alignment horizontal="left" vertical="center"/>
    </xf>
    <xf numFmtId="0" fontId="73" fillId="0" borderId="0" xfId="60" applyFont="1" applyBorder="1" applyAlignment="1" applyProtection="1">
      <alignment horizontal="center" vertical="center" shrinkToFit="1"/>
      <protection/>
    </xf>
    <xf numFmtId="0" fontId="73" fillId="0" borderId="0" xfId="60" applyFont="1" applyBorder="1" applyAlignment="1" applyProtection="1">
      <alignment horizontal="center" vertical="center" shrinkToFit="1"/>
      <protection hidden="1"/>
    </xf>
    <xf numFmtId="0" fontId="3" fillId="0" borderId="57" xfId="0" applyFont="1" applyBorder="1" applyAlignment="1" applyProtection="1">
      <alignment horizontal="center" vertical="center" shrinkToFit="1"/>
      <protection/>
    </xf>
    <xf numFmtId="0" fontId="3" fillId="0" borderId="58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/>
      <protection locked="0"/>
    </xf>
    <xf numFmtId="0" fontId="3" fillId="33" borderId="57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shrinkToFit="1"/>
      <protection/>
    </xf>
    <xf numFmtId="0" fontId="3" fillId="0" borderId="59" xfId="0" applyFont="1" applyBorder="1" applyAlignment="1" applyProtection="1">
      <alignment/>
      <protection locked="0"/>
    </xf>
    <xf numFmtId="0" fontId="3" fillId="0" borderId="6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3" fillId="0" borderId="61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84" fillId="36" borderId="23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62" xfId="0" applyFont="1" applyBorder="1" applyAlignment="1" applyProtection="1">
      <alignment horizontal="center" vertical="center" shrinkToFit="1"/>
      <protection/>
    </xf>
    <xf numFmtId="0" fontId="6" fillId="0" borderId="6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62" xfId="0" applyFont="1" applyBorder="1" applyAlignment="1" applyProtection="1">
      <alignment horizontal="center" vertical="center" shrinkToFit="1"/>
      <protection/>
    </xf>
    <xf numFmtId="0" fontId="3" fillId="0" borderId="63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73" fillId="0" borderId="64" xfId="60" applyFont="1" applyBorder="1" applyAlignment="1" applyProtection="1">
      <alignment horizontal="center" vertical="center" shrinkToFit="1"/>
      <protection/>
    </xf>
    <xf numFmtId="0" fontId="73" fillId="0" borderId="65" xfId="60" applyFont="1" applyBorder="1" applyAlignment="1" applyProtection="1">
      <alignment horizontal="center" vertical="center" shrinkToFit="1"/>
      <protection/>
    </xf>
    <xf numFmtId="0" fontId="73" fillId="0" borderId="66" xfId="60" applyFont="1" applyBorder="1" applyAlignment="1" applyProtection="1">
      <alignment horizontal="center" vertical="center" shrinkToFit="1"/>
      <protection/>
    </xf>
    <xf numFmtId="0" fontId="73" fillId="0" borderId="10" xfId="60" applyFont="1" applyBorder="1" applyAlignment="1" applyProtection="1">
      <alignment horizontal="center" vertical="center" shrinkToFit="1"/>
      <protection/>
    </xf>
    <xf numFmtId="0" fontId="73" fillId="0" borderId="42" xfId="60" applyFont="1" applyBorder="1" applyAlignment="1" applyProtection="1">
      <alignment horizontal="center" vertical="center" shrinkToFit="1"/>
      <protection/>
    </xf>
    <xf numFmtId="176" fontId="5" fillId="0" borderId="14" xfId="60" applyNumberFormat="1" applyFont="1" applyBorder="1" applyAlignment="1" applyProtection="1">
      <alignment vertical="center" shrinkToFit="1"/>
      <protection/>
    </xf>
    <xf numFmtId="176" fontId="5" fillId="0" borderId="61" xfId="60" applyNumberFormat="1" applyFont="1" applyBorder="1" applyAlignment="1" applyProtection="1">
      <alignment vertical="center" shrinkToFit="1"/>
      <protection/>
    </xf>
    <xf numFmtId="176" fontId="5" fillId="0" borderId="12" xfId="60" applyNumberFormat="1" applyFont="1" applyBorder="1" applyAlignment="1" applyProtection="1">
      <alignment vertical="center" shrinkToFit="1"/>
      <protection/>
    </xf>
    <xf numFmtId="176" fontId="5" fillId="0" borderId="43" xfId="60" applyNumberFormat="1" applyFont="1" applyBorder="1" applyAlignment="1" applyProtection="1">
      <alignment vertical="center" shrinkToFit="1"/>
      <protection/>
    </xf>
    <xf numFmtId="0" fontId="5" fillId="0" borderId="23" xfId="60" applyFont="1" applyBorder="1" applyAlignment="1" applyProtection="1">
      <alignment horizontal="center" vertical="center" shrinkToFit="1"/>
      <protection/>
    </xf>
    <xf numFmtId="0" fontId="75" fillId="0" borderId="14" xfId="60" applyFont="1" applyBorder="1" applyAlignment="1" applyProtection="1">
      <alignment horizontal="center" vertical="center" shrinkToFit="1"/>
      <protection/>
    </xf>
    <xf numFmtId="0" fontId="75" fillId="0" borderId="12" xfId="60" applyFont="1" applyBorder="1" applyAlignment="1" applyProtection="1">
      <alignment horizontal="center" vertical="center" shrinkToFit="1"/>
      <protection/>
    </xf>
    <xf numFmtId="0" fontId="74" fillId="0" borderId="29" xfId="60" applyFont="1" applyBorder="1" applyAlignment="1" applyProtection="1">
      <alignment horizontal="center" vertical="center" shrinkToFit="1"/>
      <protection/>
    </xf>
    <xf numFmtId="0" fontId="73" fillId="0" borderId="67" xfId="60" applyFont="1" applyBorder="1" applyAlignment="1" applyProtection="1">
      <alignment horizontal="center" vertical="center" shrinkToFit="1"/>
      <protection/>
    </xf>
    <xf numFmtId="0" fontId="73" fillId="0" borderId="11" xfId="60" applyFont="1" applyBorder="1" applyAlignment="1" applyProtection="1">
      <alignment horizontal="center" vertical="center" shrinkToFit="1"/>
      <protection/>
    </xf>
    <xf numFmtId="0" fontId="73" fillId="0" borderId="68" xfId="60" applyFont="1" applyBorder="1" applyAlignment="1" applyProtection="1">
      <alignment horizontal="center" vertical="center" shrinkToFit="1"/>
      <protection/>
    </xf>
    <xf numFmtId="0" fontId="5" fillId="0" borderId="14" xfId="61" applyFont="1" applyFill="1" applyBorder="1" applyAlignment="1" applyProtection="1">
      <alignment horizontal="center" vertical="center" shrinkToFit="1"/>
      <protection/>
    </xf>
    <xf numFmtId="0" fontId="5" fillId="0" borderId="61" xfId="61" applyFont="1" applyFill="1" applyBorder="1" applyAlignment="1" applyProtection="1">
      <alignment horizontal="center" vertical="center" shrinkToFit="1"/>
      <protection/>
    </xf>
    <xf numFmtId="0" fontId="5" fillId="0" borderId="12" xfId="61" applyFont="1" applyFill="1" applyBorder="1" applyAlignment="1" applyProtection="1">
      <alignment horizontal="center" vertical="center" shrinkToFit="1"/>
      <protection/>
    </xf>
    <xf numFmtId="0" fontId="5" fillId="0" borderId="43" xfId="61" applyFont="1" applyFill="1" applyBorder="1" applyAlignment="1" applyProtection="1">
      <alignment horizontal="center" vertical="center" shrinkToFit="1"/>
      <protection/>
    </xf>
    <xf numFmtId="0" fontId="73" fillId="0" borderId="24" xfId="60" applyFont="1" applyBorder="1" applyAlignment="1" applyProtection="1">
      <alignment horizontal="center" vertical="center" shrinkToFit="1"/>
      <protection/>
    </xf>
    <xf numFmtId="0" fontId="73" fillId="0" borderId="63" xfId="60" applyFont="1" applyBorder="1" applyAlignment="1" applyProtection="1">
      <alignment horizontal="center" vertical="center" shrinkToFit="1"/>
      <protection/>
    </xf>
    <xf numFmtId="0" fontId="73" fillId="0" borderId="69" xfId="60" applyFont="1" applyBorder="1" applyAlignment="1" applyProtection="1">
      <alignment horizontal="center" vertical="center" shrinkToFit="1"/>
      <protection/>
    </xf>
    <xf numFmtId="0" fontId="73" fillId="0" borderId="70" xfId="60" applyFont="1" applyBorder="1" applyAlignment="1" applyProtection="1">
      <alignment horizontal="center" vertical="center" shrinkToFit="1"/>
      <protection/>
    </xf>
    <xf numFmtId="0" fontId="73" fillId="0" borderId="71" xfId="60" applyFont="1" applyBorder="1" applyAlignment="1" applyProtection="1">
      <alignment horizontal="center" vertical="center" shrinkToFit="1"/>
      <protection/>
    </xf>
    <xf numFmtId="0" fontId="73" fillId="0" borderId="72" xfId="60" applyFont="1" applyBorder="1" applyAlignment="1" applyProtection="1">
      <alignment horizontal="center" vertical="center" shrinkToFit="1"/>
      <protection/>
    </xf>
    <xf numFmtId="0" fontId="73" fillId="0" borderId="62" xfId="60" applyFont="1" applyBorder="1" applyAlignment="1" applyProtection="1">
      <alignment horizontal="center" vertical="center" shrinkToFit="1"/>
      <protection/>
    </xf>
    <xf numFmtId="0" fontId="73" fillId="0" borderId="23" xfId="60" applyFont="1" applyBorder="1" applyAlignment="1" applyProtection="1">
      <alignment horizontal="center" vertical="center" shrinkToFit="1"/>
      <protection/>
    </xf>
    <xf numFmtId="176" fontId="5" fillId="0" borderId="23" xfId="60" applyNumberFormat="1" applyFont="1" applyBorder="1" applyAlignment="1" applyProtection="1">
      <alignment vertical="center" shrinkToFit="1"/>
      <protection/>
    </xf>
    <xf numFmtId="176" fontId="5" fillId="0" borderId="67" xfId="60" applyNumberFormat="1" applyFont="1" applyBorder="1" applyAlignment="1" applyProtection="1">
      <alignment vertical="center" shrinkToFit="1"/>
      <protection/>
    </xf>
    <xf numFmtId="0" fontId="73" fillId="0" borderId="61" xfId="60" applyFont="1" applyBorder="1" applyAlignment="1" applyProtection="1">
      <alignment horizontal="center" vertical="center" shrinkToFit="1"/>
      <protection/>
    </xf>
    <xf numFmtId="0" fontId="73" fillId="0" borderId="43" xfId="60" applyFont="1" applyBorder="1" applyAlignment="1" applyProtection="1">
      <alignment horizontal="center" vertical="center" shrinkToFit="1"/>
      <protection/>
    </xf>
    <xf numFmtId="0" fontId="74" fillId="37" borderId="14" xfId="60" applyFont="1" applyFill="1" applyBorder="1" applyAlignment="1" applyProtection="1">
      <alignment horizontal="center" vertical="center" shrinkToFit="1"/>
      <protection hidden="1"/>
    </xf>
    <xf numFmtId="0" fontId="74" fillId="37" borderId="10" xfId="60" applyFont="1" applyFill="1" applyBorder="1" applyAlignment="1" applyProtection="1">
      <alignment horizontal="center" vertical="center" shrinkToFit="1"/>
      <protection hidden="1"/>
    </xf>
    <xf numFmtId="0" fontId="74" fillId="37" borderId="12" xfId="60" applyFont="1" applyFill="1" applyBorder="1" applyAlignment="1" applyProtection="1">
      <alignment horizontal="center" vertical="center" shrinkToFit="1"/>
      <protection hidden="1"/>
    </xf>
    <xf numFmtId="0" fontId="74" fillId="37" borderId="42" xfId="60" applyFont="1" applyFill="1" applyBorder="1" applyAlignment="1" applyProtection="1">
      <alignment horizontal="center" vertical="center" shrinkToFit="1"/>
      <protection hidden="1"/>
    </xf>
    <xf numFmtId="0" fontId="74" fillId="37" borderId="10" xfId="60" applyFont="1" applyFill="1" applyBorder="1" applyAlignment="1" applyProtection="1">
      <alignment horizontal="left" vertical="center" shrinkToFit="1"/>
      <protection hidden="1"/>
    </xf>
    <xf numFmtId="0" fontId="74" fillId="37" borderId="61" xfId="60" applyFont="1" applyFill="1" applyBorder="1" applyAlignment="1" applyProtection="1">
      <alignment horizontal="left" vertical="center" shrinkToFit="1"/>
      <protection hidden="1"/>
    </xf>
    <xf numFmtId="0" fontId="74" fillId="37" borderId="42" xfId="60" applyFont="1" applyFill="1" applyBorder="1" applyAlignment="1" applyProtection="1">
      <alignment horizontal="left" vertical="center" shrinkToFit="1"/>
      <protection hidden="1"/>
    </xf>
    <xf numFmtId="0" fontId="74" fillId="37" borderId="43" xfId="60" applyFont="1" applyFill="1" applyBorder="1" applyAlignment="1" applyProtection="1">
      <alignment horizontal="left" vertical="center" shrinkToFit="1"/>
      <protection hidden="1"/>
    </xf>
    <xf numFmtId="0" fontId="83" fillId="0" borderId="14" xfId="60" applyFont="1" applyBorder="1" applyAlignment="1" applyProtection="1">
      <alignment horizontal="center" vertical="center" shrinkToFit="1"/>
      <protection/>
    </xf>
    <xf numFmtId="0" fontId="83" fillId="0" borderId="61" xfId="60" applyFont="1" applyBorder="1" applyAlignment="1" applyProtection="1">
      <alignment horizontal="center" vertical="center" shrinkToFit="1"/>
      <protection/>
    </xf>
    <xf numFmtId="0" fontId="83" fillId="0" borderId="12" xfId="60" applyFont="1" applyBorder="1" applyAlignment="1" applyProtection="1">
      <alignment horizontal="center" vertical="center" shrinkToFit="1"/>
      <protection/>
    </xf>
    <xf numFmtId="0" fontId="83" fillId="0" borderId="43" xfId="60" applyFont="1" applyBorder="1" applyAlignment="1" applyProtection="1">
      <alignment horizontal="center" vertical="center" shrinkToFit="1"/>
      <protection/>
    </xf>
    <xf numFmtId="0" fontId="5" fillId="0" borderId="0" xfId="60" applyFont="1" applyFill="1" applyBorder="1" applyAlignment="1" applyProtection="1">
      <alignment horizontal="center" vertical="center" shrinkToFit="1"/>
      <protection/>
    </xf>
    <xf numFmtId="0" fontId="5" fillId="0" borderId="40" xfId="60" applyFont="1" applyFill="1" applyBorder="1" applyAlignment="1" applyProtection="1">
      <alignment horizontal="center" vertical="center" shrinkToFit="1"/>
      <protection/>
    </xf>
    <xf numFmtId="0" fontId="73" fillId="0" borderId="0" xfId="60" applyFont="1" applyFill="1" applyBorder="1" applyAlignment="1" applyProtection="1">
      <alignment horizontal="center" vertical="center" shrinkToFit="1"/>
      <protection/>
    </xf>
    <xf numFmtId="0" fontId="73" fillId="0" borderId="40" xfId="60" applyFont="1" applyFill="1" applyBorder="1" applyAlignment="1" applyProtection="1">
      <alignment horizontal="center" vertical="center" shrinkToFit="1"/>
      <protection/>
    </xf>
    <xf numFmtId="0" fontId="73" fillId="38" borderId="0" xfId="60" applyFont="1" applyFill="1" applyBorder="1" applyAlignment="1" applyProtection="1">
      <alignment horizontal="center" vertical="center" shrinkToFit="1"/>
      <protection hidden="1"/>
    </xf>
    <xf numFmtId="0" fontId="75" fillId="0" borderId="13" xfId="60" applyFont="1" applyBorder="1" applyAlignment="1" applyProtection="1">
      <alignment horizontal="right" vertical="center" shrinkToFit="1"/>
      <protection/>
    </xf>
    <xf numFmtId="0" fontId="75" fillId="0" borderId="0" xfId="60" applyFont="1" applyBorder="1" applyAlignment="1" applyProtection="1">
      <alignment horizontal="right" vertical="center" shrinkToFit="1"/>
      <protection/>
    </xf>
    <xf numFmtId="0" fontId="73" fillId="0" borderId="14" xfId="60" applyFont="1" applyFill="1" applyBorder="1" applyAlignment="1" applyProtection="1">
      <alignment horizontal="center" vertical="center" shrinkToFit="1"/>
      <protection hidden="1"/>
    </xf>
    <xf numFmtId="0" fontId="73" fillId="0" borderId="61" xfId="60" applyFont="1" applyFill="1" applyBorder="1" applyAlignment="1" applyProtection="1">
      <alignment horizontal="center" vertical="center" shrinkToFit="1"/>
      <protection hidden="1"/>
    </xf>
    <xf numFmtId="0" fontId="73" fillId="0" borderId="12" xfId="60" applyFont="1" applyFill="1" applyBorder="1" applyAlignment="1" applyProtection="1">
      <alignment horizontal="center" vertical="center" shrinkToFit="1"/>
      <protection hidden="1"/>
    </xf>
    <xf numFmtId="0" fontId="73" fillId="0" borderId="43" xfId="60" applyFont="1" applyFill="1" applyBorder="1" applyAlignment="1" applyProtection="1">
      <alignment horizontal="center" vertical="center" shrinkToFit="1"/>
      <protection hidden="1"/>
    </xf>
    <xf numFmtId="0" fontId="73" fillId="0" borderId="73" xfId="60" applyFont="1" applyBorder="1" applyAlignment="1" applyProtection="1">
      <alignment horizontal="center" vertical="center" shrinkToFit="1"/>
      <protection/>
    </xf>
    <xf numFmtId="0" fontId="78" fillId="0" borderId="0" xfId="60" applyFont="1" applyAlignment="1" applyProtection="1">
      <alignment horizontal="left" vertical="center" shrinkToFit="1"/>
      <protection hidden="1"/>
    </xf>
    <xf numFmtId="0" fontId="78" fillId="0" borderId="40" xfId="60" applyFont="1" applyBorder="1" applyAlignment="1" applyProtection="1">
      <alignment horizontal="left" vertical="center" shrinkToFit="1"/>
      <protection hidden="1"/>
    </xf>
    <xf numFmtId="0" fontId="78" fillId="0" borderId="0" xfId="60" applyFont="1" applyBorder="1" applyAlignment="1" applyProtection="1">
      <alignment horizontal="left" vertical="center" shrinkToFit="1"/>
      <protection hidden="1"/>
    </xf>
    <xf numFmtId="0" fontId="5" fillId="0" borderId="0" xfId="61" applyFont="1" applyAlignment="1" applyProtection="1">
      <alignment horizontal="center" vertical="center" shrinkToFit="1"/>
      <protection/>
    </xf>
    <xf numFmtId="0" fontId="5" fillId="34" borderId="23" xfId="60" applyFont="1" applyFill="1" applyBorder="1" applyAlignment="1" applyProtection="1">
      <alignment horizontal="center" vertical="center" shrinkToFit="1"/>
      <protection/>
    </xf>
    <xf numFmtId="0" fontId="78" fillId="0" borderId="0" xfId="60" applyFont="1" applyAlignment="1" applyProtection="1">
      <alignment horizontal="left" vertical="center" shrinkToFit="1"/>
      <protection locked="0"/>
    </xf>
    <xf numFmtId="0" fontId="78" fillId="0" borderId="0" xfId="60" applyFont="1" applyAlignment="1" applyProtection="1">
      <alignment horizontal="right" vertical="center" shrinkToFit="1"/>
      <protection locked="0"/>
    </xf>
    <xf numFmtId="0" fontId="85" fillId="0" borderId="0" xfId="60" applyFont="1" applyAlignment="1" applyProtection="1">
      <alignment horizontal="center" vertical="center" shrinkToFit="1"/>
      <protection hidden="1"/>
    </xf>
    <xf numFmtId="0" fontId="74" fillId="37" borderId="52" xfId="60" applyFont="1" applyFill="1" applyBorder="1" applyAlignment="1" applyProtection="1">
      <alignment horizontal="left" vertical="center" shrinkToFit="1"/>
      <protection hidden="1"/>
    </xf>
    <xf numFmtId="0" fontId="74" fillId="37" borderId="29" xfId="60" applyFont="1" applyFill="1" applyBorder="1" applyAlignment="1" applyProtection="1">
      <alignment horizontal="left" vertical="center" shrinkToFit="1"/>
      <protection hidden="1"/>
    </xf>
    <xf numFmtId="0" fontId="83" fillId="0" borderId="14" xfId="60" applyFont="1" applyBorder="1" applyAlignment="1" applyProtection="1">
      <alignment horizontal="center" vertical="center" wrapText="1" shrinkToFit="1"/>
      <protection/>
    </xf>
    <xf numFmtId="0" fontId="73" fillId="0" borderId="0" xfId="60" applyFont="1" applyBorder="1" applyAlignment="1" applyProtection="1">
      <alignment horizontal="center" vertical="center" shrinkToFit="1"/>
      <protection/>
    </xf>
    <xf numFmtId="0" fontId="74" fillId="0" borderId="0" xfId="60" applyFont="1" applyFill="1" applyBorder="1" applyAlignment="1" applyProtection="1">
      <alignment horizontal="center" vertical="center" shrinkToFit="1"/>
      <protection/>
    </xf>
    <xf numFmtId="0" fontId="74" fillId="0" borderId="40" xfId="60" applyFont="1" applyFill="1" applyBorder="1" applyAlignment="1" applyProtection="1">
      <alignment horizontal="center" vertical="center" shrinkToFit="1"/>
      <protection/>
    </xf>
    <xf numFmtId="0" fontId="5" fillId="34" borderId="14" xfId="61" applyFont="1" applyFill="1" applyBorder="1" applyAlignment="1" applyProtection="1">
      <alignment horizontal="center" vertical="center" shrinkToFit="1"/>
      <protection/>
    </xf>
    <xf numFmtId="0" fontId="5" fillId="34" borderId="61" xfId="61" applyFont="1" applyFill="1" applyBorder="1" applyAlignment="1" applyProtection="1">
      <alignment horizontal="center" vertical="center" shrinkToFit="1"/>
      <protection/>
    </xf>
    <xf numFmtId="0" fontId="5" fillId="34" borderId="12" xfId="61" applyFont="1" applyFill="1" applyBorder="1" applyAlignment="1" applyProtection="1">
      <alignment horizontal="center" vertical="center" shrinkToFit="1"/>
      <protection/>
    </xf>
    <xf numFmtId="0" fontId="5" fillId="34" borderId="43" xfId="61" applyFont="1" applyFill="1" applyBorder="1" applyAlignment="1" applyProtection="1">
      <alignment horizontal="center" vertical="center" shrinkToFit="1"/>
      <protection/>
    </xf>
    <xf numFmtId="176" fontId="5" fillId="34" borderId="14" xfId="60" applyNumberFormat="1" applyFont="1" applyFill="1" applyBorder="1" applyAlignment="1" applyProtection="1">
      <alignment vertical="center" shrinkToFit="1"/>
      <protection/>
    </xf>
    <xf numFmtId="176" fontId="5" fillId="34" borderId="61" xfId="60" applyNumberFormat="1" applyFont="1" applyFill="1" applyBorder="1" applyAlignment="1" applyProtection="1">
      <alignment vertical="center" shrinkToFit="1"/>
      <protection/>
    </xf>
    <xf numFmtId="176" fontId="5" fillId="34" borderId="12" xfId="60" applyNumberFormat="1" applyFont="1" applyFill="1" applyBorder="1" applyAlignment="1" applyProtection="1">
      <alignment vertical="center" shrinkToFit="1"/>
      <protection/>
    </xf>
    <xf numFmtId="176" fontId="5" fillId="34" borderId="43" xfId="60" applyNumberFormat="1" applyFont="1" applyFill="1" applyBorder="1" applyAlignment="1" applyProtection="1">
      <alignment vertical="center" shrinkToFit="1"/>
      <protection/>
    </xf>
    <xf numFmtId="176" fontId="5" fillId="34" borderId="23" xfId="60" applyNumberFormat="1" applyFont="1" applyFill="1" applyBorder="1" applyAlignment="1" applyProtection="1">
      <alignment vertical="center" shrinkToFit="1"/>
      <protection/>
    </xf>
    <xf numFmtId="176" fontId="5" fillId="34" borderId="67" xfId="60" applyNumberFormat="1" applyFont="1" applyFill="1" applyBorder="1" applyAlignment="1" applyProtection="1">
      <alignment vertical="center" shrinkToFit="1"/>
      <protection/>
    </xf>
    <xf numFmtId="0" fontId="73" fillId="0" borderId="74" xfId="60" applyFont="1" applyBorder="1" applyAlignment="1" applyProtection="1">
      <alignment horizontal="center" vertical="center" shrinkToFit="1"/>
      <protection/>
    </xf>
    <xf numFmtId="0" fontId="73" fillId="0" borderId="75" xfId="60" applyFont="1" applyBorder="1" applyAlignment="1" applyProtection="1">
      <alignment horizontal="center" vertical="center" shrinkToFit="1"/>
      <protection/>
    </xf>
    <xf numFmtId="0" fontId="73" fillId="0" borderId="76" xfId="60" applyFont="1" applyBorder="1" applyAlignment="1" applyProtection="1">
      <alignment horizontal="center" vertical="center" shrinkToFit="1"/>
      <protection/>
    </xf>
    <xf numFmtId="0" fontId="73" fillId="0" borderId="77" xfId="60" applyFont="1" applyBorder="1" applyAlignment="1" applyProtection="1">
      <alignment horizontal="center" vertical="center" shrinkToFit="1"/>
      <protection/>
    </xf>
    <xf numFmtId="0" fontId="73" fillId="0" borderId="12" xfId="60" applyFont="1" applyBorder="1" applyAlignment="1" applyProtection="1">
      <alignment horizontal="center" vertical="center" shrinkToFit="1"/>
      <protection/>
    </xf>
    <xf numFmtId="0" fontId="73" fillId="0" borderId="78" xfId="60" applyFont="1" applyBorder="1" applyAlignment="1" applyProtection="1">
      <alignment horizontal="center" vertical="center" shrinkToFit="1"/>
      <protection/>
    </xf>
    <xf numFmtId="0" fontId="73" fillId="0" borderId="79" xfId="60" applyFont="1" applyBorder="1" applyAlignment="1" applyProtection="1">
      <alignment horizontal="center" vertical="center" shrinkToFit="1"/>
      <protection/>
    </xf>
    <xf numFmtId="0" fontId="73" fillId="0" borderId="80" xfId="60" applyFont="1" applyBorder="1" applyAlignment="1" applyProtection="1">
      <alignment horizontal="center" vertical="center" shrinkToFit="1"/>
      <protection/>
    </xf>
    <xf numFmtId="0" fontId="73" fillId="0" borderId="81" xfId="60" applyFont="1" applyBorder="1" applyAlignment="1" applyProtection="1">
      <alignment horizontal="center" vertical="center" shrinkToFit="1"/>
      <protection/>
    </xf>
    <xf numFmtId="0" fontId="73" fillId="0" borderId="82" xfId="60" applyFont="1" applyBorder="1" applyAlignment="1" applyProtection="1">
      <alignment horizontal="center" vertical="center" shrinkToFit="1"/>
      <protection/>
    </xf>
    <xf numFmtId="0" fontId="73" fillId="0" borderId="83" xfId="60" applyFont="1" applyBorder="1" applyAlignment="1" applyProtection="1">
      <alignment horizontal="center" vertical="center" shrinkToFit="1"/>
      <protection/>
    </xf>
    <xf numFmtId="0" fontId="77" fillId="0" borderId="64" xfId="60" applyFont="1" applyBorder="1" applyAlignment="1" applyProtection="1">
      <alignment horizontal="center" vertical="center" shrinkToFit="1"/>
      <protection/>
    </xf>
    <xf numFmtId="0" fontId="77" fillId="0" borderId="65" xfId="60" applyFont="1" applyBorder="1" applyAlignment="1" applyProtection="1">
      <alignment horizontal="center" vertical="center" shrinkToFit="1"/>
      <protection/>
    </xf>
    <xf numFmtId="0" fontId="77" fillId="0" borderId="66" xfId="60" applyFont="1" applyBorder="1" applyAlignment="1" applyProtection="1">
      <alignment horizontal="center" vertical="center" shrinkToFit="1"/>
      <protection/>
    </xf>
    <xf numFmtId="0" fontId="5" fillId="0" borderId="10" xfId="60" applyFont="1" applyBorder="1" applyAlignment="1" applyProtection="1">
      <alignment horizontal="center" vertical="center" shrinkToFit="1"/>
      <protection/>
    </xf>
    <xf numFmtId="0" fontId="5" fillId="0" borderId="42" xfId="60" applyFont="1" applyBorder="1" applyAlignment="1" applyProtection="1">
      <alignment horizontal="center" vertical="center" shrinkToFit="1"/>
      <protection/>
    </xf>
    <xf numFmtId="0" fontId="75" fillId="0" borderId="67" xfId="60" applyFont="1" applyBorder="1" applyAlignment="1" applyProtection="1">
      <alignment horizontal="center" vertical="center" shrinkToFit="1"/>
      <protection/>
    </xf>
    <xf numFmtId="0" fontId="75" fillId="0" borderId="11" xfId="60" applyFont="1" applyBorder="1" applyAlignment="1" applyProtection="1">
      <alignment horizontal="center" vertical="center" shrinkToFit="1"/>
      <protection/>
    </xf>
    <xf numFmtId="0" fontId="75" fillId="0" borderId="42" xfId="60" applyFont="1" applyBorder="1" applyAlignment="1" applyProtection="1">
      <alignment horizontal="center" vertical="center" shrinkToFit="1"/>
      <protection/>
    </xf>
    <xf numFmtId="0" fontId="73" fillId="0" borderId="14" xfId="60" applyFont="1" applyBorder="1" applyAlignment="1" applyProtection="1">
      <alignment horizontal="center" vertical="center" shrinkToFit="1"/>
      <protection hidden="1"/>
    </xf>
    <xf numFmtId="0" fontId="73" fillId="0" borderId="10" xfId="60" applyFont="1" applyBorder="1" applyAlignment="1" applyProtection="1">
      <alignment horizontal="center" vertical="center" shrinkToFit="1"/>
      <protection hidden="1"/>
    </xf>
    <xf numFmtId="0" fontId="73" fillId="0" borderId="12" xfId="60" applyFont="1" applyBorder="1" applyAlignment="1" applyProtection="1">
      <alignment horizontal="center" vertical="center" shrinkToFit="1"/>
      <protection hidden="1"/>
    </xf>
    <xf numFmtId="0" fontId="73" fillId="0" borderId="42" xfId="60" applyFont="1" applyBorder="1" applyAlignment="1" applyProtection="1">
      <alignment horizontal="center" vertical="center" shrinkToFit="1"/>
      <protection hidden="1"/>
    </xf>
    <xf numFmtId="0" fontId="73" fillId="0" borderId="61" xfId="60" applyFont="1" applyBorder="1" applyAlignment="1" applyProtection="1">
      <alignment horizontal="center" vertical="center" shrinkToFit="1"/>
      <protection hidden="1"/>
    </xf>
    <xf numFmtId="0" fontId="73" fillId="0" borderId="43" xfId="60" applyFont="1" applyBorder="1" applyAlignment="1" applyProtection="1">
      <alignment horizontal="center" vertical="center" shrinkToFit="1"/>
      <protection hidden="1"/>
    </xf>
    <xf numFmtId="0" fontId="73" fillId="0" borderId="14" xfId="60" applyFont="1" applyFill="1" applyBorder="1" applyAlignment="1" applyProtection="1">
      <alignment horizontal="center" vertical="center" shrinkToFit="1"/>
      <protection/>
    </xf>
    <xf numFmtId="0" fontId="73" fillId="0" borderId="61" xfId="60" applyFont="1" applyFill="1" applyBorder="1" applyAlignment="1" applyProtection="1">
      <alignment horizontal="center" vertical="center" shrinkToFit="1"/>
      <protection/>
    </xf>
    <xf numFmtId="0" fontId="73" fillId="0" borderId="12" xfId="60" applyFont="1" applyFill="1" applyBorder="1" applyAlignment="1" applyProtection="1">
      <alignment horizontal="center" vertical="center" shrinkToFit="1"/>
      <protection/>
    </xf>
    <xf numFmtId="0" fontId="73" fillId="0" borderId="43" xfId="60" applyFont="1" applyFill="1" applyBorder="1" applyAlignment="1" applyProtection="1">
      <alignment horizontal="center" vertical="center" shrinkToFit="1"/>
      <protection/>
    </xf>
    <xf numFmtId="0" fontId="75" fillId="0" borderId="13" xfId="60" applyFont="1" applyBorder="1" applyAlignment="1" applyProtection="1">
      <alignment horizontal="right" vertical="center" shrinkToFit="1"/>
      <protection hidden="1"/>
    </xf>
    <xf numFmtId="0" fontId="75" fillId="0" borderId="0" xfId="60" applyFont="1" applyBorder="1" applyAlignment="1" applyProtection="1">
      <alignment horizontal="right" vertical="center" shrinkToFit="1"/>
      <protection hidden="1"/>
    </xf>
    <xf numFmtId="0" fontId="73" fillId="38" borderId="51" xfId="60" applyFont="1" applyFill="1" applyBorder="1" applyAlignment="1" applyProtection="1">
      <alignment horizontal="center" vertical="center" shrinkToFit="1"/>
      <protection hidden="1"/>
    </xf>
    <xf numFmtId="0" fontId="75" fillId="0" borderId="55" xfId="60" applyFont="1" applyBorder="1" applyAlignment="1" applyProtection="1">
      <alignment horizontal="right" vertical="center" shrinkToFit="1"/>
      <protection/>
    </xf>
    <xf numFmtId="0" fontId="74" fillId="0" borderId="84" xfId="60" applyFont="1" applyFill="1" applyBorder="1" applyAlignment="1" applyProtection="1">
      <alignment horizontal="center" vertical="center" shrinkToFit="1"/>
      <protection/>
    </xf>
    <xf numFmtId="0" fontId="5" fillId="0" borderId="84" xfId="60" applyFont="1" applyFill="1" applyBorder="1" applyAlignment="1" applyProtection="1">
      <alignment horizontal="center" vertical="center" shrinkToFit="1"/>
      <protection/>
    </xf>
    <xf numFmtId="0" fontId="5" fillId="0" borderId="85" xfId="60" applyFont="1" applyFill="1" applyBorder="1" applyAlignment="1" applyProtection="1">
      <alignment horizontal="center" vertical="center" shrinkToFit="1"/>
      <protection/>
    </xf>
    <xf numFmtId="0" fontId="5" fillId="0" borderId="86" xfId="60" applyFont="1" applyFill="1" applyBorder="1" applyAlignment="1" applyProtection="1">
      <alignment horizontal="center" vertical="center" shrinkToFit="1"/>
      <protection/>
    </xf>
    <xf numFmtId="0" fontId="5" fillId="0" borderId="87" xfId="60" applyFont="1" applyFill="1" applyBorder="1" applyAlignment="1" applyProtection="1">
      <alignment horizontal="center" vertical="center" shrinkToFit="1"/>
      <protection/>
    </xf>
    <xf numFmtId="0" fontId="73" fillId="0" borderId="0" xfId="60" applyFont="1" applyFill="1" applyBorder="1" applyAlignment="1" applyProtection="1">
      <alignment horizontal="center" vertical="center" shrinkToFit="1"/>
      <protection hidden="1"/>
    </xf>
    <xf numFmtId="0" fontId="73" fillId="0" borderId="40" xfId="60" applyFont="1" applyFill="1" applyBorder="1" applyAlignment="1" applyProtection="1">
      <alignment horizontal="center" vertical="center" shrinkToFit="1"/>
      <protection hidden="1"/>
    </xf>
    <xf numFmtId="0" fontId="74" fillId="0" borderId="0" xfId="60" applyFont="1" applyFill="1" applyBorder="1" applyAlignment="1" applyProtection="1">
      <alignment horizontal="center" vertical="center" shrinkToFit="1"/>
      <protection hidden="1"/>
    </xf>
    <xf numFmtId="0" fontId="74" fillId="0" borderId="40" xfId="60" applyFont="1" applyFill="1" applyBorder="1" applyAlignment="1" applyProtection="1">
      <alignment horizontal="center" vertical="center" shrinkToFit="1"/>
      <protection hidden="1"/>
    </xf>
    <xf numFmtId="0" fontId="73" fillId="38" borderId="0" xfId="60" applyFont="1" applyFill="1" applyBorder="1" applyAlignment="1" applyProtection="1">
      <alignment horizontal="center" vertical="center" shrinkToFit="1"/>
      <protection/>
    </xf>
    <xf numFmtId="0" fontId="0" fillId="0" borderId="40" xfId="0" applyBorder="1" applyAlignment="1">
      <alignment/>
    </xf>
    <xf numFmtId="0" fontId="73" fillId="39" borderId="0" xfId="60" applyFont="1" applyFill="1" applyAlignment="1">
      <alignment horizontal="center" vertical="center" shrinkToFit="1"/>
      <protection/>
    </xf>
    <xf numFmtId="0" fontId="73" fillId="39" borderId="0" xfId="60" applyFont="1" applyFill="1" applyAlignment="1" applyProtection="1">
      <alignment horizontal="center" vertical="center" shrinkToFit="1"/>
      <protection hidden="1"/>
    </xf>
    <xf numFmtId="0" fontId="73" fillId="40" borderId="0" xfId="60" applyFont="1" applyFill="1" applyAlignment="1">
      <alignment horizontal="center" vertical="center" shrinkToFit="1"/>
      <protection/>
    </xf>
    <xf numFmtId="0" fontId="78" fillId="0" borderId="0" xfId="60" applyFont="1" applyAlignment="1" applyProtection="1">
      <alignment horizontal="left" vertical="center" shrinkToFit="1"/>
      <protection/>
    </xf>
    <xf numFmtId="0" fontId="78" fillId="0" borderId="40" xfId="60" applyFont="1" applyBorder="1" applyAlignment="1" applyProtection="1">
      <alignment horizontal="left" vertical="center" shrinkToFit="1"/>
      <protection/>
    </xf>
    <xf numFmtId="0" fontId="78" fillId="0" borderId="0" xfId="60" applyFont="1" applyBorder="1" applyAlignment="1" applyProtection="1">
      <alignment horizontal="left" vertical="center" shrinkToFit="1"/>
      <protection/>
    </xf>
    <xf numFmtId="0" fontId="78" fillId="0" borderId="0" xfId="60" applyFont="1" applyAlignment="1" applyProtection="1">
      <alignment horizontal="right" vertical="center" shrinkToFit="1"/>
      <protection/>
    </xf>
    <xf numFmtId="0" fontId="85" fillId="0" borderId="0" xfId="60" applyFont="1" applyAlignment="1" applyProtection="1">
      <alignment horizontal="center" vertical="center" shrinkToFit="1"/>
      <protection/>
    </xf>
    <xf numFmtId="0" fontId="74" fillId="37" borderId="14" xfId="60" applyFont="1" applyFill="1" applyBorder="1" applyAlignment="1" applyProtection="1">
      <alignment horizontal="center" vertical="center" shrinkToFit="1"/>
      <protection/>
    </xf>
    <xf numFmtId="0" fontId="74" fillId="37" borderId="10" xfId="60" applyFont="1" applyFill="1" applyBorder="1" applyAlignment="1" applyProtection="1">
      <alignment horizontal="center" vertical="center" shrinkToFit="1"/>
      <protection/>
    </xf>
    <xf numFmtId="0" fontId="74" fillId="37" borderId="12" xfId="60" applyFont="1" applyFill="1" applyBorder="1" applyAlignment="1" applyProtection="1">
      <alignment horizontal="center" vertical="center" shrinkToFit="1"/>
      <protection/>
    </xf>
    <xf numFmtId="0" fontId="74" fillId="37" borderId="42" xfId="60" applyFont="1" applyFill="1" applyBorder="1" applyAlignment="1" applyProtection="1">
      <alignment horizontal="center" vertical="center" shrinkToFit="1"/>
      <protection/>
    </xf>
    <xf numFmtId="0" fontId="74" fillId="37" borderId="10" xfId="60" applyFont="1" applyFill="1" applyBorder="1" applyAlignment="1" applyProtection="1">
      <alignment horizontal="left" vertical="center" shrinkToFit="1"/>
      <protection/>
    </xf>
    <xf numFmtId="0" fontId="74" fillId="37" borderId="52" xfId="60" applyFont="1" applyFill="1" applyBorder="1" applyAlignment="1" applyProtection="1">
      <alignment horizontal="left" vertical="center" shrinkToFit="1"/>
      <protection/>
    </xf>
    <xf numFmtId="0" fontId="74" fillId="37" borderId="29" xfId="60" applyFont="1" applyFill="1" applyBorder="1" applyAlignment="1" applyProtection="1">
      <alignment horizontal="left" vertical="center" shrinkToFit="1"/>
      <protection/>
    </xf>
    <xf numFmtId="0" fontId="74" fillId="37" borderId="42" xfId="60" applyFont="1" applyFill="1" applyBorder="1" applyAlignment="1" applyProtection="1">
      <alignment horizontal="left" vertical="center" shrinkToFit="1"/>
      <protection/>
    </xf>
    <xf numFmtId="0" fontId="74" fillId="37" borderId="43" xfId="60" applyFont="1" applyFill="1" applyBorder="1" applyAlignment="1" applyProtection="1">
      <alignment horizontal="left" vertical="center" shrinkToFit="1"/>
      <protection/>
    </xf>
    <xf numFmtId="0" fontId="73" fillId="0" borderId="14" xfId="60" applyFont="1" applyBorder="1" applyAlignment="1" applyProtection="1">
      <alignment horizontal="center" vertical="center" shrinkToFit="1"/>
      <protection/>
    </xf>
    <xf numFmtId="0" fontId="73" fillId="0" borderId="88" xfId="60" applyFont="1" applyBorder="1" applyAlignment="1" applyProtection="1">
      <alignment horizontal="center" vertical="center" shrinkToFit="1"/>
      <protection/>
    </xf>
    <xf numFmtId="0" fontId="73" fillId="0" borderId="89" xfId="60" applyFont="1" applyBorder="1" applyAlignment="1" applyProtection="1">
      <alignment horizontal="center" vertical="center" shrinkToFit="1"/>
      <protection/>
    </xf>
    <xf numFmtId="0" fontId="75" fillId="0" borderId="13" xfId="60" applyFont="1" applyBorder="1" applyAlignment="1" applyProtection="1">
      <alignment horizontal="center" vertical="center" shrinkToFit="1"/>
      <protection/>
    </xf>
    <xf numFmtId="0" fontId="73" fillId="0" borderId="38" xfId="60" applyFont="1" applyBorder="1" applyAlignment="1" applyProtection="1">
      <alignment horizontal="center" vertical="center" shrinkToFit="1"/>
      <protection/>
    </xf>
    <xf numFmtId="0" fontId="73" fillId="0" borderId="29" xfId="60" applyFont="1" applyBorder="1" applyAlignment="1" applyProtection="1">
      <alignment horizontal="center" vertical="center" shrinkToFit="1"/>
      <protection/>
    </xf>
    <xf numFmtId="0" fontId="73" fillId="0" borderId="90" xfId="60" applyFont="1" applyBorder="1" applyAlignment="1" applyProtection="1">
      <alignment horizontal="center" vertical="center" shrinkToFit="1"/>
      <protection/>
    </xf>
    <xf numFmtId="0" fontId="74" fillId="37" borderId="61" xfId="60" applyFont="1" applyFill="1" applyBorder="1" applyAlignment="1" applyProtection="1">
      <alignment horizontal="left" vertical="center" shrinkToFit="1"/>
      <protection/>
    </xf>
    <xf numFmtId="0" fontId="75" fillId="0" borderId="0" xfId="60" applyFont="1" applyBorder="1" applyAlignment="1" applyProtection="1">
      <alignment horizontal="center" vertical="center" shrinkToFit="1"/>
      <protection/>
    </xf>
    <xf numFmtId="0" fontId="73" fillId="38" borderId="51" xfId="60" applyFont="1" applyFill="1" applyBorder="1" applyAlignment="1" applyProtection="1">
      <alignment horizontal="center" vertical="center" shrinkToFit="1"/>
      <protection/>
    </xf>
    <xf numFmtId="0" fontId="75" fillId="0" borderId="13" xfId="60" applyFont="1" applyBorder="1" applyAlignment="1" applyProtection="1">
      <alignment vertical="center" shrinkToFit="1"/>
      <protection/>
    </xf>
    <xf numFmtId="0" fontId="75" fillId="0" borderId="0" xfId="60" applyFont="1" applyBorder="1" applyAlignment="1" applyProtection="1">
      <alignment vertical="center" shrinkToFit="1"/>
      <protection/>
    </xf>
    <xf numFmtId="0" fontId="73" fillId="0" borderId="24" xfId="60" applyFont="1" applyBorder="1" applyAlignment="1" applyProtection="1">
      <alignment horizontal="center" vertical="center" shrinkToFit="1"/>
      <protection hidden="1"/>
    </xf>
    <xf numFmtId="0" fontId="73" fillId="0" borderId="62" xfId="60" applyFont="1" applyBorder="1" applyAlignment="1" applyProtection="1">
      <alignment horizontal="center" vertical="center" shrinkToFit="1"/>
      <protection hidden="1"/>
    </xf>
    <xf numFmtId="0" fontId="73" fillId="0" borderId="63" xfId="60" applyFont="1" applyBorder="1" applyAlignment="1" applyProtection="1">
      <alignment horizontal="center" vertical="center" shrinkToFit="1"/>
      <protection hidden="1"/>
    </xf>
    <xf numFmtId="0" fontId="73" fillId="0" borderId="23" xfId="60" applyFont="1" applyBorder="1" applyAlignment="1" applyProtection="1">
      <alignment horizontal="center" vertical="center" shrinkToFit="1"/>
      <protection hidden="1"/>
    </xf>
    <xf numFmtId="0" fontId="83" fillId="0" borderId="14" xfId="60" applyFont="1" applyBorder="1" applyAlignment="1" applyProtection="1">
      <alignment horizontal="center" vertical="center" shrinkToFit="1"/>
      <protection hidden="1"/>
    </xf>
    <xf numFmtId="0" fontId="83" fillId="0" borderId="61" xfId="60" applyFont="1" applyBorder="1" applyAlignment="1" applyProtection="1">
      <alignment horizontal="center" vertical="center" shrinkToFit="1"/>
      <protection hidden="1"/>
    </xf>
    <xf numFmtId="0" fontId="83" fillId="0" borderId="12" xfId="60" applyFont="1" applyBorder="1" applyAlignment="1" applyProtection="1">
      <alignment horizontal="center" vertical="center" shrinkToFit="1"/>
      <protection hidden="1"/>
    </xf>
    <xf numFmtId="0" fontId="83" fillId="0" borderId="43" xfId="60" applyFont="1" applyBorder="1" applyAlignment="1" applyProtection="1">
      <alignment horizontal="center" vertical="center" shrinkToFit="1"/>
      <protection hidden="1"/>
    </xf>
    <xf numFmtId="0" fontId="5" fillId="0" borderId="23" xfId="60" applyFont="1" applyBorder="1" applyAlignment="1" applyProtection="1">
      <alignment horizontal="center" vertical="center" shrinkToFit="1"/>
      <protection hidden="1"/>
    </xf>
    <xf numFmtId="0" fontId="73" fillId="0" borderId="73" xfId="60" applyFont="1" applyBorder="1" applyAlignment="1" applyProtection="1">
      <alignment horizontal="center" vertical="center" shrinkToFit="1"/>
      <protection hidden="1"/>
    </xf>
    <xf numFmtId="0" fontId="5" fillId="0" borderId="0" xfId="61" applyFont="1" applyFill="1" applyBorder="1" applyAlignment="1" applyProtection="1">
      <alignment horizontal="center" vertical="center" shrinkToFit="1"/>
      <protection hidden="1"/>
    </xf>
    <xf numFmtId="0" fontId="5" fillId="0" borderId="0" xfId="61" applyFont="1" applyAlignment="1" applyProtection="1">
      <alignment horizontal="center" vertical="center" shrinkToFit="1"/>
      <protection hidden="1"/>
    </xf>
    <xf numFmtId="0" fontId="74" fillId="0" borderId="29" xfId="60" applyFont="1" applyBorder="1" applyAlignment="1" applyProtection="1">
      <alignment horizontal="center" vertical="center" shrinkToFit="1"/>
      <protection hidden="1"/>
    </xf>
    <xf numFmtId="0" fontId="73" fillId="0" borderId="67" xfId="60" applyFont="1" applyBorder="1" applyAlignment="1" applyProtection="1">
      <alignment horizontal="center" vertical="center" shrinkToFit="1"/>
      <protection hidden="1"/>
    </xf>
    <xf numFmtId="0" fontId="73" fillId="0" borderId="11" xfId="60" applyFont="1" applyBorder="1" applyAlignment="1" applyProtection="1">
      <alignment horizontal="center" vertical="center" shrinkToFit="1"/>
      <protection hidden="1"/>
    </xf>
    <xf numFmtId="0" fontId="73" fillId="0" borderId="68" xfId="60" applyFont="1" applyBorder="1" applyAlignment="1" applyProtection="1">
      <alignment horizontal="center" vertical="center" shrinkToFit="1"/>
      <protection hidden="1"/>
    </xf>
    <xf numFmtId="0" fontId="73" fillId="0" borderId="88" xfId="60" applyFont="1" applyBorder="1" applyAlignment="1" applyProtection="1">
      <alignment horizontal="center" vertical="center" shrinkToFit="1"/>
      <protection hidden="1"/>
    </xf>
    <xf numFmtId="0" fontId="73" fillId="0" borderId="89" xfId="60" applyFont="1" applyBorder="1" applyAlignment="1" applyProtection="1">
      <alignment horizontal="center" vertical="center" shrinkToFit="1"/>
      <protection hidden="1"/>
    </xf>
    <xf numFmtId="0" fontId="73" fillId="0" borderId="71" xfId="60" applyFont="1" applyBorder="1" applyAlignment="1" applyProtection="1">
      <alignment horizontal="center" vertical="center" shrinkToFit="1"/>
      <protection hidden="1"/>
    </xf>
    <xf numFmtId="0" fontId="73" fillId="0" borderId="72" xfId="60" applyFont="1" applyBorder="1" applyAlignment="1" applyProtection="1">
      <alignment horizontal="center" vertical="center" shrinkToFit="1"/>
      <protection hidden="1"/>
    </xf>
    <xf numFmtId="0" fontId="75" fillId="0" borderId="14" xfId="60" applyFont="1" applyBorder="1" applyAlignment="1" applyProtection="1">
      <alignment horizontal="center" vertical="center" shrinkToFit="1"/>
      <protection hidden="1"/>
    </xf>
    <xf numFmtId="0" fontId="75" fillId="0" borderId="12" xfId="60" applyFont="1" applyBorder="1" applyAlignment="1" applyProtection="1">
      <alignment horizontal="center" vertical="center" shrinkToFit="1"/>
      <protection hidden="1"/>
    </xf>
    <xf numFmtId="0" fontId="73" fillId="0" borderId="74" xfId="60" applyFont="1" applyBorder="1" applyAlignment="1" applyProtection="1">
      <alignment horizontal="center" vertical="center" shrinkToFit="1"/>
      <protection hidden="1"/>
    </xf>
    <xf numFmtId="0" fontId="73" fillId="0" borderId="75" xfId="60" applyFont="1" applyBorder="1" applyAlignment="1" applyProtection="1">
      <alignment horizontal="center" vertical="center" shrinkToFit="1"/>
      <protection hidden="1"/>
    </xf>
    <xf numFmtId="0" fontId="73" fillId="0" borderId="76" xfId="60" applyFont="1" applyBorder="1" applyAlignment="1" applyProtection="1">
      <alignment horizontal="center" vertical="center" shrinkToFit="1"/>
      <protection hidden="1"/>
    </xf>
    <xf numFmtId="0" fontId="5" fillId="0" borderId="14" xfId="61" applyFont="1" applyFill="1" applyBorder="1" applyAlignment="1" applyProtection="1">
      <alignment horizontal="center" vertical="center" shrinkToFit="1"/>
      <protection hidden="1"/>
    </xf>
    <xf numFmtId="0" fontId="5" fillId="0" borderId="61" xfId="61" applyFont="1" applyFill="1" applyBorder="1" applyAlignment="1" applyProtection="1">
      <alignment horizontal="center" vertical="center" shrinkToFit="1"/>
      <protection hidden="1"/>
    </xf>
    <xf numFmtId="0" fontId="5" fillId="0" borderId="12" xfId="61" applyFont="1" applyFill="1" applyBorder="1" applyAlignment="1" applyProtection="1">
      <alignment horizontal="center" vertical="center" shrinkToFit="1"/>
      <protection hidden="1"/>
    </xf>
    <xf numFmtId="0" fontId="5" fillId="0" borderId="43" xfId="61" applyFont="1" applyFill="1" applyBorder="1" applyAlignment="1" applyProtection="1">
      <alignment horizontal="center" vertical="center" shrinkToFit="1"/>
      <protection hidden="1"/>
    </xf>
    <xf numFmtId="0" fontId="73" fillId="0" borderId="78" xfId="60" applyFont="1" applyBorder="1" applyAlignment="1" applyProtection="1">
      <alignment horizontal="center" vertical="center" shrinkToFit="1"/>
      <protection hidden="1"/>
    </xf>
    <xf numFmtId="0" fontId="73" fillId="0" borderId="79" xfId="60" applyFont="1" applyBorder="1" applyAlignment="1" applyProtection="1">
      <alignment horizontal="center" vertical="center" shrinkToFit="1"/>
      <protection hidden="1"/>
    </xf>
    <xf numFmtId="0" fontId="75" fillId="0" borderId="13" xfId="60" applyFont="1" applyBorder="1" applyAlignment="1" applyProtection="1">
      <alignment horizontal="center" vertical="center" shrinkToFit="1"/>
      <protection hidden="1"/>
    </xf>
    <xf numFmtId="0" fontId="73" fillId="0" borderId="38" xfId="60" applyFont="1" applyBorder="1" applyAlignment="1" applyProtection="1">
      <alignment horizontal="center" vertical="center" shrinkToFit="1"/>
      <protection hidden="1"/>
    </xf>
    <xf numFmtId="0" fontId="73" fillId="0" borderId="0" xfId="60" applyFont="1" applyBorder="1" applyAlignment="1" applyProtection="1">
      <alignment horizontal="center" vertical="center" shrinkToFit="1"/>
      <protection hidden="1"/>
    </xf>
    <xf numFmtId="0" fontId="73" fillId="0" borderId="29" xfId="60" applyFont="1" applyBorder="1" applyAlignment="1" applyProtection="1">
      <alignment horizontal="center" vertical="center" shrinkToFit="1"/>
      <protection hidden="1"/>
    </xf>
    <xf numFmtId="0" fontId="73" fillId="0" borderId="90" xfId="60" applyFont="1" applyBorder="1" applyAlignment="1" applyProtection="1">
      <alignment horizontal="center" vertical="center" shrinkToFit="1"/>
      <protection hidden="1"/>
    </xf>
    <xf numFmtId="0" fontId="73" fillId="0" borderId="80" xfId="60" applyFont="1" applyBorder="1" applyAlignment="1" applyProtection="1">
      <alignment horizontal="center" vertical="center" shrinkToFit="1"/>
      <protection hidden="1"/>
    </xf>
    <xf numFmtId="0" fontId="73" fillId="0" borderId="65" xfId="60" applyFont="1" applyBorder="1" applyAlignment="1" applyProtection="1">
      <alignment horizontal="center" vertical="center" shrinkToFit="1"/>
      <protection hidden="1"/>
    </xf>
    <xf numFmtId="0" fontId="73" fillId="0" borderId="64" xfId="60" applyFont="1" applyBorder="1" applyAlignment="1" applyProtection="1">
      <alignment horizontal="center" vertical="center" shrinkToFit="1"/>
      <protection hidden="1"/>
    </xf>
    <xf numFmtId="0" fontId="73" fillId="0" borderId="81" xfId="60" applyFont="1" applyBorder="1" applyAlignment="1" applyProtection="1">
      <alignment horizontal="center" vertical="center" shrinkToFit="1"/>
      <protection hidden="1"/>
    </xf>
    <xf numFmtId="176" fontId="5" fillId="0" borderId="23" xfId="60" applyNumberFormat="1" applyFont="1" applyBorder="1" applyAlignment="1" applyProtection="1">
      <alignment vertical="center" shrinkToFit="1"/>
      <protection hidden="1"/>
    </xf>
    <xf numFmtId="176" fontId="5" fillId="0" borderId="67" xfId="60" applyNumberFormat="1" applyFont="1" applyBorder="1" applyAlignment="1" applyProtection="1">
      <alignment vertical="center" shrinkToFit="1"/>
      <protection hidden="1"/>
    </xf>
    <xf numFmtId="176" fontId="5" fillId="0" borderId="14" xfId="60" applyNumberFormat="1" applyFont="1" applyBorder="1" applyAlignment="1" applyProtection="1">
      <alignment vertical="center" shrinkToFit="1"/>
      <protection hidden="1"/>
    </xf>
    <xf numFmtId="176" fontId="5" fillId="0" borderId="61" xfId="60" applyNumberFormat="1" applyFont="1" applyBorder="1" applyAlignment="1" applyProtection="1">
      <alignment vertical="center" shrinkToFit="1"/>
      <protection hidden="1"/>
    </xf>
    <xf numFmtId="176" fontId="5" fillId="0" borderId="12" xfId="60" applyNumberFormat="1" applyFont="1" applyBorder="1" applyAlignment="1" applyProtection="1">
      <alignment vertical="center" shrinkToFit="1"/>
      <protection hidden="1"/>
    </xf>
    <xf numFmtId="176" fontId="5" fillId="0" borderId="43" xfId="60" applyNumberFormat="1" applyFont="1" applyBorder="1" applyAlignment="1" applyProtection="1">
      <alignment vertical="center" shrinkToFit="1"/>
      <protection hidden="1"/>
    </xf>
    <xf numFmtId="0" fontId="73" fillId="0" borderId="77" xfId="60" applyFont="1" applyBorder="1" applyAlignment="1" applyProtection="1">
      <alignment horizontal="center" vertical="center" shrinkToFit="1"/>
      <protection hidden="1"/>
    </xf>
    <xf numFmtId="0" fontId="73" fillId="0" borderId="66" xfId="60" applyFont="1" applyBorder="1" applyAlignment="1" applyProtection="1">
      <alignment horizontal="center" vertical="center" shrinkToFit="1"/>
      <protection hidden="1"/>
    </xf>
    <xf numFmtId="0" fontId="73" fillId="0" borderId="82" xfId="60" applyFont="1" applyBorder="1" applyAlignment="1" applyProtection="1">
      <alignment horizontal="center" vertical="center" shrinkToFit="1"/>
      <protection hidden="1"/>
    </xf>
    <xf numFmtId="0" fontId="73" fillId="0" borderId="69" xfId="60" applyFont="1" applyBorder="1" applyAlignment="1" applyProtection="1">
      <alignment horizontal="center" vertical="center" shrinkToFit="1"/>
      <protection hidden="1"/>
    </xf>
    <xf numFmtId="0" fontId="73" fillId="0" borderId="70" xfId="60" applyFont="1" applyBorder="1" applyAlignment="1" applyProtection="1">
      <alignment horizontal="center" vertical="center" shrinkToFit="1"/>
      <protection hidden="1"/>
    </xf>
    <xf numFmtId="0" fontId="73" fillId="0" borderId="83" xfId="60" applyFont="1" applyBorder="1" applyAlignment="1" applyProtection="1">
      <alignment horizontal="center" vertical="center" shrinkToFit="1"/>
      <protection hidden="1"/>
    </xf>
    <xf numFmtId="0" fontId="74" fillId="23" borderId="14" xfId="60" applyFont="1" applyFill="1" applyBorder="1" applyAlignment="1" applyProtection="1">
      <alignment horizontal="right" vertical="center" shrinkToFit="1"/>
      <protection hidden="1"/>
    </xf>
    <xf numFmtId="0" fontId="74" fillId="23" borderId="10" xfId="60" applyFont="1" applyFill="1" applyBorder="1" applyAlignment="1" applyProtection="1">
      <alignment horizontal="right" vertical="center" shrinkToFit="1"/>
      <protection hidden="1"/>
    </xf>
    <xf numFmtId="0" fontId="74" fillId="23" borderId="12" xfId="60" applyFont="1" applyFill="1" applyBorder="1" applyAlignment="1" applyProtection="1">
      <alignment horizontal="right" vertical="center" shrinkToFit="1"/>
      <protection hidden="1"/>
    </xf>
    <xf numFmtId="0" fontId="74" fillId="23" borderId="42" xfId="60" applyFont="1" applyFill="1" applyBorder="1" applyAlignment="1" applyProtection="1">
      <alignment horizontal="right" vertical="center" shrinkToFit="1"/>
      <protection hidden="1"/>
    </xf>
    <xf numFmtId="0" fontId="74" fillId="23" borderId="10" xfId="60" applyFont="1" applyFill="1" applyBorder="1" applyAlignment="1" applyProtection="1">
      <alignment horizontal="center" vertical="center" shrinkToFit="1"/>
      <protection hidden="1"/>
    </xf>
    <xf numFmtId="0" fontId="74" fillId="23" borderId="42" xfId="60" applyFont="1" applyFill="1" applyBorder="1" applyAlignment="1" applyProtection="1">
      <alignment horizontal="center" vertical="center" shrinkToFit="1"/>
      <protection hidden="1"/>
    </xf>
    <xf numFmtId="0" fontId="74" fillId="23" borderId="10" xfId="60" applyFont="1" applyFill="1" applyBorder="1" applyAlignment="1" applyProtection="1">
      <alignment horizontal="left" vertical="center" shrinkToFit="1"/>
      <protection hidden="1"/>
    </xf>
    <xf numFmtId="0" fontId="74" fillId="23" borderId="61" xfId="60" applyFont="1" applyFill="1" applyBorder="1" applyAlignment="1" applyProtection="1">
      <alignment horizontal="left" vertical="center" shrinkToFit="1"/>
      <protection hidden="1"/>
    </xf>
    <xf numFmtId="0" fontId="74" fillId="23" borderId="42" xfId="60" applyFont="1" applyFill="1" applyBorder="1" applyAlignment="1" applyProtection="1">
      <alignment horizontal="left" vertical="center" shrinkToFit="1"/>
      <protection hidden="1"/>
    </xf>
    <xf numFmtId="0" fontId="74" fillId="23" borderId="43" xfId="60" applyFont="1" applyFill="1" applyBorder="1" applyAlignment="1" applyProtection="1">
      <alignment horizontal="left" vertical="center" shrinkToFit="1"/>
      <protection hidden="1"/>
    </xf>
    <xf numFmtId="0" fontId="73" fillId="0" borderId="13" xfId="60" applyFont="1" applyBorder="1" applyAlignment="1" applyProtection="1">
      <alignment horizontal="center" vertical="center" shrinkToFit="1"/>
      <protection hidden="1"/>
    </xf>
    <xf numFmtId="0" fontId="73" fillId="0" borderId="0" xfId="60" applyFont="1" applyAlignment="1" applyProtection="1">
      <alignment horizontal="center" vertical="center" shrinkToFit="1"/>
      <protection hidden="1"/>
    </xf>
    <xf numFmtId="0" fontId="74" fillId="23" borderId="14" xfId="60" applyFont="1" applyFill="1" applyBorder="1" applyAlignment="1" applyProtection="1">
      <alignment horizontal="center" vertical="center" shrinkToFit="1"/>
      <protection hidden="1"/>
    </xf>
    <xf numFmtId="0" fontId="74" fillId="23" borderId="61" xfId="60" applyFont="1" applyFill="1" applyBorder="1" applyAlignment="1" applyProtection="1">
      <alignment horizontal="center" vertical="center" shrinkToFit="1"/>
      <protection hidden="1"/>
    </xf>
    <xf numFmtId="0" fontId="74" fillId="23" borderId="12" xfId="60" applyFont="1" applyFill="1" applyBorder="1" applyAlignment="1" applyProtection="1">
      <alignment horizontal="center" vertical="center" shrinkToFit="1"/>
      <protection hidden="1"/>
    </xf>
    <xf numFmtId="0" fontId="74" fillId="23" borderId="43" xfId="60" applyFont="1" applyFill="1" applyBorder="1" applyAlignment="1" applyProtection="1">
      <alignment horizontal="center" vertical="center" shrinkToFit="1"/>
      <protection hidden="1"/>
    </xf>
    <xf numFmtId="0" fontId="8" fillId="0" borderId="91" xfId="0" applyFont="1" applyBorder="1" applyAlignment="1" applyProtection="1">
      <alignment horizontal="center" vertical="center" shrinkToFit="1"/>
      <protection/>
    </xf>
    <xf numFmtId="0" fontId="8" fillId="0" borderId="92" xfId="0" applyFont="1" applyBorder="1" applyAlignment="1" applyProtection="1">
      <alignment horizontal="center" vertical="center" shrinkToFit="1"/>
      <protection/>
    </xf>
    <xf numFmtId="0" fontId="8" fillId="0" borderId="93" xfId="0" applyFont="1" applyBorder="1" applyAlignment="1" applyProtection="1">
      <alignment horizontal="center" vertical="center" shrinkToFit="1"/>
      <protection/>
    </xf>
    <xf numFmtId="0" fontId="8" fillId="0" borderId="94" xfId="0" applyFont="1" applyBorder="1" applyAlignment="1" applyProtection="1">
      <alignment horizontal="center" vertical="center" shrinkToFit="1"/>
      <protection/>
    </xf>
    <xf numFmtId="0" fontId="3" fillId="0" borderId="95" xfId="0" applyFont="1" applyBorder="1" applyAlignment="1" applyProtection="1">
      <alignment horizontal="center" vertical="center" shrinkToFit="1"/>
      <protection/>
    </xf>
    <xf numFmtId="0" fontId="3" fillId="0" borderId="96" xfId="0" applyFont="1" applyBorder="1" applyAlignment="1" applyProtection="1">
      <alignment horizontal="center" vertical="center" shrinkToFit="1"/>
      <protection/>
    </xf>
    <xf numFmtId="0" fontId="3" fillId="0" borderId="97" xfId="0" applyFont="1" applyBorder="1" applyAlignment="1" applyProtection="1">
      <alignment horizontal="center" vertical="center" shrinkToFit="1"/>
      <protection/>
    </xf>
    <xf numFmtId="0" fontId="3" fillId="0" borderId="98" xfId="0" applyFont="1" applyBorder="1" applyAlignment="1" applyProtection="1">
      <alignment horizontal="center" vertical="center" shrinkToFit="1"/>
      <protection/>
    </xf>
    <xf numFmtId="0" fontId="3" fillId="0" borderId="99" xfId="0" applyFont="1" applyBorder="1" applyAlignment="1" applyProtection="1">
      <alignment horizontal="center" vertical="center" shrinkToFit="1"/>
      <protection/>
    </xf>
    <xf numFmtId="0" fontId="3" fillId="0" borderId="100" xfId="0" applyFont="1" applyBorder="1" applyAlignment="1" applyProtection="1">
      <alignment horizontal="center" vertical="center" shrinkToFit="1"/>
      <protection/>
    </xf>
    <xf numFmtId="0" fontId="12" fillId="0" borderId="22" xfId="0" applyFont="1" applyBorder="1" applyAlignment="1" applyProtection="1">
      <alignment horizontal="center" vertical="center" shrinkToFit="1"/>
      <protection/>
    </xf>
    <xf numFmtId="0" fontId="12" fillId="0" borderId="94" xfId="0" applyFont="1" applyBorder="1" applyAlignment="1" applyProtection="1">
      <alignment horizontal="center" vertical="center" shrinkToFit="1"/>
      <protection/>
    </xf>
    <xf numFmtId="20" fontId="12" fillId="0" borderId="22" xfId="0" applyNumberFormat="1" applyFont="1" applyBorder="1" applyAlignment="1" applyProtection="1">
      <alignment horizontal="center" vertical="center" shrinkToFit="1"/>
      <protection locked="0"/>
    </xf>
    <xf numFmtId="20" fontId="12" fillId="0" borderId="94" xfId="0" applyNumberFormat="1" applyFont="1" applyBorder="1" applyAlignment="1" applyProtection="1">
      <alignment horizontal="center" vertical="center" shrinkToFit="1"/>
      <protection locked="0"/>
    </xf>
    <xf numFmtId="0" fontId="3" fillId="34" borderId="24" xfId="0" applyFont="1" applyFill="1" applyBorder="1" applyAlignment="1" applyProtection="1">
      <alignment horizontal="center" vertical="center" shrinkToFit="1"/>
      <protection locked="0"/>
    </xf>
    <xf numFmtId="0" fontId="3" fillId="34" borderId="63" xfId="0" applyFont="1" applyFill="1" applyBorder="1" applyAlignment="1" applyProtection="1">
      <alignment horizontal="center" vertical="center" shrinkToFit="1"/>
      <protection locked="0"/>
    </xf>
    <xf numFmtId="0" fontId="3" fillId="34" borderId="62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/>
    </xf>
    <xf numFmtId="0" fontId="3" fillId="0" borderId="101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center" vertical="center" shrinkToFit="1"/>
      <protection/>
    </xf>
    <xf numFmtId="0" fontId="3" fillId="0" borderId="102" xfId="0" applyFont="1" applyBorder="1" applyAlignment="1" applyProtection="1">
      <alignment horizontal="center" vertical="center" shrinkToFit="1"/>
      <protection/>
    </xf>
    <xf numFmtId="0" fontId="8" fillId="0" borderId="102" xfId="0" applyFont="1" applyBorder="1" applyAlignment="1" applyProtection="1">
      <alignment horizontal="center" vertical="center" shrinkToFit="1"/>
      <protection/>
    </xf>
    <xf numFmtId="0" fontId="9" fillId="0" borderId="52" xfId="0" applyFont="1" applyBorder="1" applyAlignment="1" applyProtection="1">
      <alignment horizontal="left" vertical="center" shrinkToFit="1"/>
      <protection/>
    </xf>
    <xf numFmtId="0" fontId="9" fillId="0" borderId="103" xfId="0" applyFont="1" applyBorder="1" applyAlignment="1" applyProtection="1">
      <alignment horizontal="left" vertical="center" shrinkToFit="1"/>
      <protection/>
    </xf>
    <xf numFmtId="0" fontId="3" fillId="0" borderId="67" xfId="0" applyFont="1" applyBorder="1" applyAlignment="1" applyProtection="1">
      <alignment horizontal="center" vertical="center" shrinkToFit="1"/>
      <protection/>
    </xf>
    <xf numFmtId="0" fontId="3" fillId="0" borderId="104" xfId="0" applyFont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>
      <alignment horizontal="center" vertical="center" shrinkToFit="1"/>
    </xf>
    <xf numFmtId="0" fontId="3" fillId="34" borderId="63" xfId="0" applyFont="1" applyFill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34" borderId="61" xfId="0" applyFont="1" applyFill="1" applyBorder="1" applyAlignment="1" applyProtection="1">
      <alignment horizontal="center" vertical="center" shrinkToFit="1"/>
      <protection locked="0"/>
    </xf>
    <xf numFmtId="0" fontId="3" fillId="34" borderId="29" xfId="0" applyFont="1" applyFill="1" applyBorder="1" applyAlignment="1" applyProtection="1">
      <alignment horizontal="center" vertical="center" shrinkToFit="1"/>
      <protection locked="0"/>
    </xf>
    <xf numFmtId="0" fontId="3" fillId="34" borderId="4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05" xfId="0" applyFont="1" applyBorder="1" applyAlignment="1" applyProtection="1">
      <alignment horizontal="center" vertical="center" shrinkToFit="1"/>
      <protection/>
    </xf>
    <xf numFmtId="0" fontId="3" fillId="0" borderId="106" xfId="0" applyFont="1" applyBorder="1" applyAlignment="1" applyProtection="1">
      <alignment horizontal="center" vertical="center" shrinkToFit="1"/>
      <protection/>
    </xf>
    <xf numFmtId="0" fontId="8" fillId="0" borderId="107" xfId="0" applyFont="1" applyBorder="1" applyAlignment="1" applyProtection="1">
      <alignment horizontal="center" vertical="center" shrinkToFit="1"/>
      <protection/>
    </xf>
    <xf numFmtId="0" fontId="3" fillId="0" borderId="108" xfId="0" applyFont="1" applyBorder="1" applyAlignment="1" applyProtection="1">
      <alignment horizontal="center" vertical="center" shrinkToFit="1"/>
      <protection/>
    </xf>
    <xf numFmtId="0" fontId="3" fillId="0" borderId="109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shrinkToFit="1"/>
      <protection locked="0"/>
    </xf>
    <xf numFmtId="0" fontId="9" fillId="0" borderId="40" xfId="0" applyFont="1" applyBorder="1" applyAlignment="1" applyProtection="1">
      <alignment horizontal="center" shrinkToFit="1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11" xfId="0" applyFont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/>
    </xf>
    <xf numFmtId="0" fontId="3" fillId="0" borderId="11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 textRotation="255" shrinkToFit="1"/>
      <protection/>
    </xf>
    <xf numFmtId="0" fontId="3" fillId="0" borderId="38" xfId="0" applyFont="1" applyBorder="1" applyAlignment="1" applyProtection="1">
      <alignment horizontal="center" vertical="center" textRotation="255" shrinkToFit="1"/>
      <protection/>
    </xf>
    <xf numFmtId="0" fontId="3" fillId="0" borderId="39" xfId="0" applyFont="1" applyBorder="1" applyAlignment="1" applyProtection="1">
      <alignment horizontal="center" vertical="center" textRotation="255" shrinkToFit="1"/>
      <protection/>
    </xf>
    <xf numFmtId="0" fontId="3" fillId="0" borderId="41" xfId="0" applyFont="1" applyBorder="1" applyAlignment="1" applyProtection="1">
      <alignment horizontal="center" vertical="center" textRotation="255" shrinkToFit="1"/>
      <protection/>
    </xf>
    <xf numFmtId="0" fontId="14" fillId="0" borderId="21" xfId="0" applyFont="1" applyBorder="1" applyAlignment="1" applyProtection="1">
      <alignment horizontal="center" vertical="center" textRotation="255" wrapText="1" shrinkToFit="1"/>
      <protection/>
    </xf>
    <xf numFmtId="0" fontId="14" fillId="0" borderId="38" xfId="0" applyFont="1" applyBorder="1" applyAlignment="1" applyProtection="1">
      <alignment horizontal="center" vertical="center" textRotation="255" wrapText="1" shrinkToFit="1"/>
      <protection/>
    </xf>
    <xf numFmtId="0" fontId="14" fillId="0" borderId="39" xfId="0" applyFont="1" applyBorder="1" applyAlignment="1" applyProtection="1">
      <alignment horizontal="center" vertical="center" textRotation="255" wrapText="1" shrinkToFit="1"/>
      <protection/>
    </xf>
    <xf numFmtId="0" fontId="14" fillId="0" borderId="41" xfId="0" applyFont="1" applyBorder="1" applyAlignment="1" applyProtection="1">
      <alignment horizontal="center" vertical="center" textRotation="255" wrapText="1" shrinkToFit="1"/>
      <protection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center"/>
      <protection/>
    </xf>
    <xf numFmtId="0" fontId="3" fillId="0" borderId="112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 vertical="center" textRotation="255" wrapText="1" shrinkToFit="1"/>
      <protection/>
    </xf>
    <xf numFmtId="0" fontId="17" fillId="0" borderId="38" xfId="0" applyFont="1" applyBorder="1" applyAlignment="1" applyProtection="1">
      <alignment horizontal="center" vertical="center" textRotation="255" wrapText="1" shrinkToFit="1"/>
      <protection/>
    </xf>
    <xf numFmtId="0" fontId="17" fillId="0" borderId="39" xfId="0" applyFont="1" applyBorder="1" applyAlignment="1" applyProtection="1">
      <alignment horizontal="center" vertical="center" textRotation="255" wrapText="1" shrinkToFit="1"/>
      <protection/>
    </xf>
    <xf numFmtId="0" fontId="17" fillId="0" borderId="41" xfId="0" applyFont="1" applyBorder="1" applyAlignment="1" applyProtection="1">
      <alignment horizontal="center" vertical="center" textRotation="255" wrapText="1" shrinkToFit="1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16" fillId="0" borderId="21" xfId="0" applyFont="1" applyBorder="1" applyAlignment="1" applyProtection="1">
      <alignment horizontal="center" vertical="center" textRotation="255" wrapText="1" shrinkToFit="1"/>
      <protection/>
    </xf>
    <xf numFmtId="0" fontId="16" fillId="0" borderId="38" xfId="0" applyFont="1" applyBorder="1" applyAlignment="1" applyProtection="1">
      <alignment horizontal="center" vertical="center" textRotation="255" wrapText="1" shrinkToFit="1"/>
      <protection/>
    </xf>
    <xf numFmtId="0" fontId="16" fillId="0" borderId="39" xfId="0" applyFont="1" applyBorder="1" applyAlignment="1" applyProtection="1">
      <alignment horizontal="center" vertical="center" textRotation="255" wrapText="1" shrinkToFit="1"/>
      <protection/>
    </xf>
    <xf numFmtId="0" fontId="16" fillId="0" borderId="41" xfId="0" applyFont="1" applyBorder="1" applyAlignment="1" applyProtection="1">
      <alignment horizontal="center" vertical="center" textRotation="255" wrapText="1" shrinkToFi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6" fillId="0" borderId="118" xfId="0" applyFont="1" applyBorder="1" applyAlignment="1">
      <alignment horizontal="center" vertical="center"/>
    </xf>
    <xf numFmtId="0" fontId="86" fillId="0" borderId="119" xfId="0" applyFont="1" applyBorder="1" applyAlignment="1">
      <alignment horizontal="center" vertical="center"/>
    </xf>
    <xf numFmtId="20" fontId="86" fillId="0" borderId="119" xfId="0" applyNumberFormat="1" applyFont="1" applyBorder="1" applyAlignment="1">
      <alignment horizontal="center" vertical="center"/>
    </xf>
    <xf numFmtId="0" fontId="86" fillId="0" borderId="120" xfId="0" applyFont="1" applyBorder="1" applyAlignment="1">
      <alignment horizontal="center" vertical="center"/>
    </xf>
    <xf numFmtId="0" fontId="86" fillId="0" borderId="121" xfId="0" applyFont="1" applyBorder="1" applyAlignment="1">
      <alignment horizontal="center" vertical="center"/>
    </xf>
    <xf numFmtId="0" fontId="86" fillId="0" borderId="122" xfId="0" applyFont="1" applyBorder="1" applyAlignment="1">
      <alignment horizontal="center" vertical="center"/>
    </xf>
    <xf numFmtId="49" fontId="86" fillId="0" borderId="119" xfId="0" applyNumberFormat="1" applyFont="1" applyBorder="1" applyAlignment="1">
      <alignment horizontal="center" vertical="center"/>
    </xf>
    <xf numFmtId="0" fontId="82" fillId="0" borderId="119" xfId="0" applyFont="1" applyBorder="1" applyAlignment="1">
      <alignment horizontal="center" vertical="center"/>
    </xf>
    <xf numFmtId="0" fontId="82" fillId="0" borderId="123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86" fillId="0" borderId="68" xfId="0" applyFont="1" applyBorder="1" applyAlignment="1">
      <alignment horizontal="center" vertical="center"/>
    </xf>
    <xf numFmtId="20" fontId="86" fillId="0" borderId="67" xfId="0" applyNumberFormat="1" applyFont="1" applyBorder="1" applyAlignment="1">
      <alignment horizontal="center" vertical="center"/>
    </xf>
    <xf numFmtId="20" fontId="86" fillId="0" borderId="68" xfId="0" applyNumberFormat="1" applyFont="1" applyBorder="1" applyAlignment="1">
      <alignment horizontal="center" vertical="center"/>
    </xf>
    <xf numFmtId="0" fontId="86" fillId="0" borderId="67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49" fontId="86" fillId="0" borderId="67" xfId="0" applyNumberFormat="1" applyFont="1" applyBorder="1" applyAlignment="1">
      <alignment horizontal="center" vertical="center" wrapText="1"/>
    </xf>
    <xf numFmtId="49" fontId="86" fillId="0" borderId="68" xfId="0" applyNumberFormat="1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/>
    </xf>
    <xf numFmtId="0" fontId="82" fillId="0" borderId="75" xfId="0" applyFont="1" applyBorder="1" applyAlignment="1">
      <alignment horizontal="center" vertical="center"/>
    </xf>
    <xf numFmtId="49" fontId="86" fillId="0" borderId="67" xfId="0" applyNumberFormat="1" applyFont="1" applyBorder="1" applyAlignment="1">
      <alignment horizontal="center" vertical="center"/>
    </xf>
    <xf numFmtId="49" fontId="87" fillId="0" borderId="67" xfId="0" applyNumberFormat="1" applyFont="1" applyBorder="1" applyAlignment="1">
      <alignment horizontal="center" vertical="center" wrapText="1"/>
    </xf>
    <xf numFmtId="49" fontId="87" fillId="0" borderId="68" xfId="0" applyNumberFormat="1" applyFont="1" applyBorder="1" applyAlignment="1">
      <alignment horizontal="center" vertical="center"/>
    </xf>
    <xf numFmtId="0" fontId="86" fillId="0" borderId="124" xfId="0" applyFont="1" applyBorder="1" applyAlignment="1">
      <alignment horizontal="center" vertical="center"/>
    </xf>
    <xf numFmtId="0" fontId="86" fillId="0" borderId="125" xfId="0" applyFont="1" applyBorder="1" applyAlignment="1">
      <alignment horizontal="center" vertical="center"/>
    </xf>
    <xf numFmtId="0" fontId="88" fillId="0" borderId="67" xfId="0" applyFont="1" applyBorder="1" applyAlignment="1">
      <alignment horizontal="center" vertical="center"/>
    </xf>
    <xf numFmtId="0" fontId="88" fillId="0" borderId="75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82" fillId="0" borderId="126" xfId="0" applyFont="1" applyBorder="1" applyAlignment="1">
      <alignment horizontal="center" vertical="center"/>
    </xf>
    <xf numFmtId="0" fontId="82" fillId="0" borderId="127" xfId="0" applyFont="1" applyBorder="1" applyAlignment="1">
      <alignment horizontal="center" vertical="center"/>
    </xf>
    <xf numFmtId="0" fontId="86" fillId="0" borderId="127" xfId="0" applyFont="1" applyBorder="1" applyAlignment="1">
      <alignment horizontal="center" vertical="center"/>
    </xf>
    <xf numFmtId="0" fontId="82" fillId="0" borderId="124" xfId="0" applyFont="1" applyBorder="1" applyAlignment="1">
      <alignment horizontal="center" vertical="center"/>
    </xf>
    <xf numFmtId="0" fontId="82" fillId="0" borderId="83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48" xfId="0" applyFont="1" applyBorder="1" applyAlignment="1" applyProtection="1">
      <alignment/>
      <protection locked="0"/>
    </xf>
    <xf numFmtId="0" fontId="3" fillId="0" borderId="53" xfId="0" applyFont="1" applyBorder="1" applyAlignment="1" applyProtection="1">
      <alignment/>
      <protection locked="0"/>
    </xf>
    <xf numFmtId="0" fontId="3" fillId="0" borderId="54" xfId="0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3" fillId="0" borderId="128" xfId="0" applyFont="1" applyBorder="1" applyAlignment="1" applyProtection="1">
      <alignment/>
      <protection locked="0"/>
    </xf>
    <xf numFmtId="0" fontId="3" fillId="0" borderId="129" xfId="0" applyFont="1" applyBorder="1" applyAlignment="1" applyProtection="1">
      <alignment/>
      <protection locked="0"/>
    </xf>
    <xf numFmtId="0" fontId="3" fillId="0" borderId="130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3" fillId="0" borderId="131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 locked="0"/>
    </xf>
    <xf numFmtId="0" fontId="3" fillId="0" borderId="132" xfId="0" applyFont="1" applyBorder="1" applyAlignment="1" applyProtection="1">
      <alignment/>
      <protection locked="0"/>
    </xf>
    <xf numFmtId="0" fontId="3" fillId="0" borderId="133" xfId="0" applyFont="1" applyBorder="1" applyAlignment="1" applyProtection="1">
      <alignment/>
      <protection locked="0"/>
    </xf>
    <xf numFmtId="0" fontId="3" fillId="0" borderId="134" xfId="0" applyFont="1" applyBorder="1" applyAlignment="1" applyProtection="1">
      <alignment/>
      <protection locked="0"/>
    </xf>
    <xf numFmtId="0" fontId="3" fillId="0" borderId="135" xfId="0" applyFont="1" applyBorder="1" applyAlignment="1" applyProtection="1">
      <alignment/>
      <protection locked="0"/>
    </xf>
    <xf numFmtId="0" fontId="16" fillId="0" borderId="40" xfId="0" applyFont="1" applyBorder="1" applyAlignment="1" applyProtection="1">
      <alignment horizontal="center"/>
      <protection locked="0"/>
    </xf>
    <xf numFmtId="0" fontId="16" fillId="0" borderId="40" xfId="0" applyFont="1" applyBorder="1" applyAlignment="1" applyProtection="1">
      <alignment/>
      <protection locked="0"/>
    </xf>
    <xf numFmtId="0" fontId="16" fillId="0" borderId="49" xfId="0" applyFont="1" applyBorder="1" applyAlignment="1" applyProtection="1">
      <alignment/>
      <protection locked="0"/>
    </xf>
    <xf numFmtId="0" fontId="16" fillId="0" borderId="47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16" fillId="0" borderId="128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133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54" fillId="0" borderId="110" xfId="0" applyFont="1" applyBorder="1" applyAlignment="1" applyProtection="1">
      <alignment horizontal="center" vertical="center"/>
      <protection locked="0"/>
    </xf>
    <xf numFmtId="0" fontId="54" fillId="0" borderId="37" xfId="0" applyFont="1" applyBorder="1" applyAlignment="1" applyProtection="1">
      <alignment horizontal="center" vertical="center"/>
      <protection locked="0"/>
    </xf>
    <xf numFmtId="0" fontId="54" fillId="0" borderId="111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38" xfId="0" applyFont="1" applyBorder="1" applyAlignment="1" applyProtection="1">
      <alignment horizontal="center" vertical="center"/>
      <protection locked="0"/>
    </xf>
    <xf numFmtId="0" fontId="54" fillId="0" borderId="39" xfId="0" applyFont="1" applyBorder="1" applyAlignment="1" applyProtection="1">
      <alignment horizontal="center" vertical="center"/>
      <protection locked="0"/>
    </xf>
    <xf numFmtId="0" fontId="54" fillId="0" borderId="40" xfId="0" applyFont="1" applyBorder="1" applyAlignment="1" applyProtection="1">
      <alignment horizontal="center" vertical="center"/>
      <protection locked="0"/>
    </xf>
    <xf numFmtId="0" fontId="54" fillId="0" borderId="41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/>
      <protection locked="0"/>
    </xf>
    <xf numFmtId="0" fontId="3" fillId="0" borderId="137" xfId="0" applyFont="1" applyBorder="1" applyAlignment="1" applyProtection="1">
      <alignment/>
      <protection locked="0"/>
    </xf>
    <xf numFmtId="0" fontId="17" fillId="0" borderId="128" xfId="0" applyFont="1" applyBorder="1" applyAlignment="1" applyProtection="1">
      <alignment horizontal="center"/>
      <protection locked="0"/>
    </xf>
    <xf numFmtId="0" fontId="3" fillId="0" borderId="138" xfId="0" applyFont="1" applyBorder="1" applyAlignment="1" applyProtection="1">
      <alignment/>
      <protection locked="0"/>
    </xf>
    <xf numFmtId="0" fontId="3" fillId="0" borderId="139" xfId="0" applyFont="1" applyBorder="1" applyAlignment="1" applyProtection="1">
      <alignment/>
      <protection locked="0"/>
    </xf>
    <xf numFmtId="0" fontId="16" fillId="0" borderId="59" xfId="0" applyFont="1" applyBorder="1" applyAlignment="1" applyProtection="1">
      <alignment horizontal="center"/>
      <protection locked="0"/>
    </xf>
    <xf numFmtId="0" fontId="16" fillId="0" borderId="60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140" xfId="0" applyFont="1" applyBorder="1" applyAlignment="1" applyProtection="1">
      <alignment/>
      <protection locked="0"/>
    </xf>
    <xf numFmtId="0" fontId="16" fillId="0" borderId="40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 wrapText="1"/>
      <protection locked="0"/>
    </xf>
    <xf numFmtId="0" fontId="3" fillId="0" borderId="141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128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45</xdr:row>
      <xdr:rowOff>28575</xdr:rowOff>
    </xdr:from>
    <xdr:to>
      <xdr:col>15</xdr:col>
      <xdr:colOff>0</xdr:colOff>
      <xdr:row>49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09575" y="8848725"/>
          <a:ext cx="5448300" cy="657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・参加費３，０００円　（表彰あり）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・１２分ハーフで行います。（ハーフタイム３分）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・審判は１人制（終わり審で勝ち主審）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moto.ke\AppData\Local\Microsoft\Windows\Temporary%20Internet%20Files\Content.IE5\V562FIPY\H26&#26481;&#24066;&#26479;&#65288;&#35201;&#38917;&#20316;&#25104;&#299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要項"/>
      <sheetName val="ブロック分け"/>
      <sheetName val="予選"/>
      <sheetName val="予選 (2)"/>
      <sheetName val="予選 (3)"/>
      <sheetName val="時間表"/>
      <sheetName val="2日目トーナメント"/>
      <sheetName val="2日目トーナメント (2)"/>
      <sheetName val="2日目トーナメント (3)"/>
      <sheetName val="4年生 (１日目) "/>
      <sheetName val="4年生 (２日目)"/>
      <sheetName val="参加チーム"/>
    </sheetNames>
    <sheetDataSet>
      <sheetData sheetId="5">
        <row r="4">
          <cell r="P4" t="str">
            <v>A</v>
          </cell>
          <cell r="T4" t="str">
            <v>E</v>
          </cell>
        </row>
        <row r="12">
          <cell r="P12" t="str">
            <v>B</v>
          </cell>
          <cell r="T12" t="str">
            <v>F</v>
          </cell>
        </row>
        <row r="20">
          <cell r="P20" t="str">
            <v>C</v>
          </cell>
          <cell r="T20" t="str">
            <v>G</v>
          </cell>
        </row>
        <row r="28">
          <cell r="P28" t="str">
            <v>D</v>
          </cell>
          <cell r="T28" t="str">
            <v>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H8" sqref="H8"/>
    </sheetView>
  </sheetViews>
  <sheetFormatPr defaultColWidth="9.00390625" defaultRowHeight="18.75" customHeight="1"/>
  <cols>
    <col min="1" max="2" width="4.375" style="0" customWidth="1"/>
    <col min="3" max="4" width="15.00390625" style="0" customWidth="1"/>
    <col min="5" max="5" width="10.00390625" style="0" customWidth="1"/>
    <col min="6" max="7" width="4.375" style="0" customWidth="1"/>
    <col min="8" max="9" width="15.00390625" style="0" customWidth="1"/>
  </cols>
  <sheetData>
    <row r="1" spans="1:9" ht="18.75" customHeight="1">
      <c r="A1" s="102"/>
      <c r="B1" s="91"/>
      <c r="C1" s="91"/>
      <c r="D1" s="91"/>
      <c r="E1" s="91"/>
      <c r="F1" s="91"/>
      <c r="G1" s="91"/>
      <c r="H1" s="91"/>
      <c r="I1" s="91"/>
    </row>
    <row r="2" spans="1:9" ht="26.25" customHeight="1">
      <c r="A2" s="247" t="s">
        <v>144</v>
      </c>
      <c r="B2" s="247"/>
      <c r="C2" s="247"/>
      <c r="D2" s="247"/>
      <c r="E2" s="247"/>
      <c r="F2" s="247"/>
      <c r="G2" s="247"/>
      <c r="H2" s="247"/>
      <c r="I2" s="247"/>
    </row>
    <row r="3" spans="1:9" ht="18.75" customHeight="1">
      <c r="A3" s="109"/>
      <c r="B3" s="100"/>
      <c r="C3" s="100"/>
      <c r="D3" s="100"/>
      <c r="E3" s="100"/>
      <c r="F3" s="100"/>
      <c r="G3" s="100"/>
      <c r="H3" s="100"/>
      <c r="I3" s="100"/>
    </row>
    <row r="4" spans="1:9" ht="18.75" customHeight="1">
      <c r="A4" s="248" t="s">
        <v>145</v>
      </c>
      <c r="B4" s="248"/>
      <c r="C4" s="248"/>
      <c r="D4" s="248"/>
      <c r="E4" s="248"/>
      <c r="F4" s="248"/>
      <c r="G4" s="248"/>
      <c r="H4" s="248"/>
      <c r="I4" s="248"/>
    </row>
    <row r="5" spans="1:9" ht="18.75" customHeight="1">
      <c r="A5" s="102"/>
      <c r="B5" s="91"/>
      <c r="C5" s="91"/>
      <c r="D5" s="91"/>
      <c r="E5" s="91"/>
      <c r="F5" s="91"/>
      <c r="G5" s="91"/>
      <c r="H5" s="91"/>
      <c r="I5" s="91"/>
    </row>
    <row r="6" spans="1:9" ht="18.75" customHeight="1">
      <c r="A6" s="102"/>
      <c r="B6" s="91"/>
      <c r="C6" s="91"/>
      <c r="D6" s="91"/>
      <c r="E6" s="91"/>
      <c r="F6" s="91"/>
      <c r="G6" s="91"/>
      <c r="H6" s="91"/>
      <c r="I6" s="91"/>
    </row>
    <row r="7" spans="1:9" ht="22.5" customHeight="1">
      <c r="A7" s="236" t="s">
        <v>120</v>
      </c>
      <c r="B7" s="236"/>
      <c r="C7" s="103" t="s">
        <v>95</v>
      </c>
      <c r="D7" s="103" t="s">
        <v>94</v>
      </c>
      <c r="E7" s="91"/>
      <c r="F7" s="236" t="s">
        <v>120</v>
      </c>
      <c r="G7" s="236"/>
      <c r="H7" s="103" t="s">
        <v>95</v>
      </c>
      <c r="I7" s="103" t="s">
        <v>94</v>
      </c>
    </row>
    <row r="8" spans="1:9" ht="22.5" customHeight="1">
      <c r="A8" s="240" t="str">
        <f>'[1]時間表'!P4</f>
        <v>A</v>
      </c>
      <c r="B8" s="241" t="s">
        <v>97</v>
      </c>
      <c r="C8" s="105" t="str">
        <f>'時間表'!Q5</f>
        <v>奈良YMCA</v>
      </c>
      <c r="D8" s="244" t="str">
        <f>'時間表'!R5</f>
        <v>南部生涯Ｇ</v>
      </c>
      <c r="E8" s="91"/>
      <c r="F8" s="240" t="str">
        <f>'[1]時間表'!T4</f>
        <v>E</v>
      </c>
      <c r="G8" s="241" t="s">
        <v>97</v>
      </c>
      <c r="H8" s="106" t="str">
        <f>'時間表'!U5</f>
        <v>ディスパーロ</v>
      </c>
      <c r="I8" s="244" t="str">
        <f>'時間表'!V5</f>
        <v>鴻池多目的Ｇ</v>
      </c>
    </row>
    <row r="9" spans="1:9" ht="22.5" customHeight="1">
      <c r="A9" s="240"/>
      <c r="B9" s="242"/>
      <c r="C9" s="105" t="str">
        <f>'時間表'!Q6</f>
        <v>下　田</v>
      </c>
      <c r="D9" s="245"/>
      <c r="E9" s="91"/>
      <c r="F9" s="240"/>
      <c r="G9" s="242"/>
      <c r="H9" s="106" t="str">
        <f>'時間表'!U6</f>
        <v>柏　田</v>
      </c>
      <c r="I9" s="245"/>
    </row>
    <row r="10" spans="1:9" ht="22.5" customHeight="1">
      <c r="A10" s="240"/>
      <c r="B10" s="243"/>
      <c r="C10" s="107" t="str">
        <f>'時間表'!Q7</f>
        <v>石　津</v>
      </c>
      <c r="D10" s="245"/>
      <c r="E10" s="91"/>
      <c r="F10" s="240"/>
      <c r="G10" s="243"/>
      <c r="H10" s="106" t="str">
        <f>'時間表'!U7</f>
        <v>高　市</v>
      </c>
      <c r="I10" s="245"/>
    </row>
    <row r="11" spans="1:9" ht="22.5" customHeight="1">
      <c r="A11" s="240"/>
      <c r="B11" s="241" t="s">
        <v>98</v>
      </c>
      <c r="C11" s="107" t="str">
        <f>'時間表'!Q8</f>
        <v>三　笠</v>
      </c>
      <c r="D11" s="245"/>
      <c r="E11" s="91"/>
      <c r="F11" s="240"/>
      <c r="G11" s="241" t="s">
        <v>98</v>
      </c>
      <c r="H11" s="106" t="str">
        <f>'時間表'!U8</f>
        <v>辰　市</v>
      </c>
      <c r="I11" s="245"/>
    </row>
    <row r="12" spans="1:9" ht="22.5" customHeight="1">
      <c r="A12" s="240"/>
      <c r="B12" s="242"/>
      <c r="C12" s="105" t="str">
        <f>'時間表'!Q9</f>
        <v>白　鷺</v>
      </c>
      <c r="D12" s="245"/>
      <c r="E12" s="91"/>
      <c r="F12" s="240"/>
      <c r="G12" s="242"/>
      <c r="H12" s="106" t="str">
        <f>'時間表'!U9</f>
        <v>ﾃﾞｨｱﾌﾞﾛｯｻ大阪</v>
      </c>
      <c r="I12" s="245"/>
    </row>
    <row r="13" spans="1:9" ht="22.5" customHeight="1">
      <c r="A13" s="240"/>
      <c r="B13" s="243"/>
      <c r="C13" s="105" t="str">
        <f>'時間表'!Q10</f>
        <v>矢　倉</v>
      </c>
      <c r="D13" s="246"/>
      <c r="E13" s="91"/>
      <c r="F13" s="240"/>
      <c r="G13" s="243"/>
      <c r="H13" s="106" t="str">
        <f>'時間表'!U10</f>
        <v>金　田</v>
      </c>
      <c r="I13" s="246"/>
    </row>
    <row r="14" spans="1:9" ht="15" customHeight="1">
      <c r="A14" s="102"/>
      <c r="B14" s="91"/>
      <c r="C14" s="91"/>
      <c r="D14" s="91"/>
      <c r="E14" s="91"/>
      <c r="F14" s="91"/>
      <c r="G14" s="91"/>
      <c r="H14" s="91"/>
      <c r="I14" s="91"/>
    </row>
    <row r="15" spans="1:9" ht="22.5" customHeight="1">
      <c r="A15" s="236" t="s">
        <v>120</v>
      </c>
      <c r="B15" s="236"/>
      <c r="C15" s="104" t="s">
        <v>95</v>
      </c>
      <c r="D15" s="103" t="s">
        <v>94</v>
      </c>
      <c r="E15" s="91"/>
      <c r="F15" s="236" t="s">
        <v>120</v>
      </c>
      <c r="G15" s="236"/>
      <c r="H15" s="103" t="s">
        <v>95</v>
      </c>
      <c r="I15" s="103" t="s">
        <v>94</v>
      </c>
    </row>
    <row r="16" spans="1:9" ht="22.5" customHeight="1">
      <c r="A16" s="240" t="str">
        <f>'[1]時間表'!P12</f>
        <v>B</v>
      </c>
      <c r="B16" s="241" t="s">
        <v>97</v>
      </c>
      <c r="C16" s="105" t="str">
        <f>'時間表'!Q15</f>
        <v>朱　雀</v>
      </c>
      <c r="D16" s="237" t="str">
        <f>'時間表'!R15</f>
        <v>鴻池サブＧ（Ａ）</v>
      </c>
      <c r="E16" s="91"/>
      <c r="F16" s="240" t="str">
        <f>'[1]時間表'!T12</f>
        <v>F</v>
      </c>
      <c r="G16" s="241" t="s">
        <v>97</v>
      </c>
      <c r="H16" s="106" t="str">
        <f>'時間表'!U15</f>
        <v>明　治</v>
      </c>
      <c r="I16" s="244" t="str">
        <f>'時間表'!V15</f>
        <v>川西小学校Ｇ</v>
      </c>
    </row>
    <row r="17" spans="1:9" ht="22.5" customHeight="1">
      <c r="A17" s="240"/>
      <c r="B17" s="242"/>
      <c r="C17" s="105" t="str">
        <f>'時間表'!Q17</f>
        <v>GINGA</v>
      </c>
      <c r="D17" s="238"/>
      <c r="E17" s="91"/>
      <c r="F17" s="240"/>
      <c r="G17" s="242"/>
      <c r="H17" s="106" t="str">
        <f>'時間表'!U17</f>
        <v>ﾊﾟﾙﾃｨｰﾀﾞ生駒</v>
      </c>
      <c r="I17" s="245"/>
    </row>
    <row r="18" spans="1:9" ht="22.5" customHeight="1">
      <c r="A18" s="240"/>
      <c r="B18" s="243"/>
      <c r="C18" s="105" t="str">
        <f>'時間表'!Q18</f>
        <v>岩出市</v>
      </c>
      <c r="D18" s="238"/>
      <c r="E18" s="91"/>
      <c r="F18" s="240"/>
      <c r="G18" s="243"/>
      <c r="H18" s="106" t="str">
        <f>'時間表'!U18</f>
        <v>エルマーノ大阪</v>
      </c>
      <c r="I18" s="245"/>
    </row>
    <row r="19" spans="1:9" ht="22.5" customHeight="1">
      <c r="A19" s="240"/>
      <c r="B19" s="241" t="s">
        <v>98</v>
      </c>
      <c r="C19" s="105" t="str">
        <f>'時間表'!Q19</f>
        <v>鳥　見</v>
      </c>
      <c r="D19" s="238"/>
      <c r="E19" s="91"/>
      <c r="F19" s="240"/>
      <c r="G19" s="241" t="s">
        <v>98</v>
      </c>
      <c r="H19" s="106" t="str">
        <f>'時間表'!U19</f>
        <v>Del Sole Shiki</v>
      </c>
      <c r="I19" s="245"/>
    </row>
    <row r="20" spans="1:9" ht="22.5" customHeight="1">
      <c r="A20" s="240"/>
      <c r="B20" s="242"/>
      <c r="C20" s="105" t="str">
        <f>'時間表'!Q20</f>
        <v>生野朝鮮初級</v>
      </c>
      <c r="D20" s="238"/>
      <c r="E20" s="91"/>
      <c r="F20" s="240"/>
      <c r="G20" s="242"/>
      <c r="H20" s="106" t="str">
        <f>'時間表'!U20</f>
        <v>奈良伏見</v>
      </c>
      <c r="I20" s="245"/>
    </row>
    <row r="21" spans="1:9" ht="22.5" customHeight="1">
      <c r="A21" s="240"/>
      <c r="B21" s="243"/>
      <c r="C21" s="105" t="str">
        <f>'時間表'!Q21</f>
        <v>ﾃﾞｨｱﾌﾞﾛｯｻ高田</v>
      </c>
      <c r="D21" s="239"/>
      <c r="E21" s="91"/>
      <c r="F21" s="240"/>
      <c r="G21" s="243"/>
      <c r="H21" s="106" t="str">
        <f>'時間表'!U21</f>
        <v>蔵　持</v>
      </c>
      <c r="I21" s="246"/>
    </row>
    <row r="22" spans="1:9" ht="15" customHeight="1">
      <c r="A22" s="102"/>
      <c r="B22" s="91"/>
      <c r="C22" s="91"/>
      <c r="D22" s="91"/>
      <c r="E22" s="91"/>
      <c r="F22" s="91"/>
      <c r="G22" s="91"/>
      <c r="H22" s="91"/>
      <c r="I22" s="91"/>
    </row>
    <row r="23" spans="1:9" ht="22.5" customHeight="1">
      <c r="A23" s="236" t="s">
        <v>120</v>
      </c>
      <c r="B23" s="236"/>
      <c r="C23" s="103" t="s">
        <v>95</v>
      </c>
      <c r="D23" s="103" t="s">
        <v>94</v>
      </c>
      <c r="E23" s="91"/>
      <c r="F23" s="236" t="s">
        <v>120</v>
      </c>
      <c r="G23" s="236"/>
      <c r="H23" s="103" t="s">
        <v>95</v>
      </c>
      <c r="I23" s="103" t="s">
        <v>94</v>
      </c>
    </row>
    <row r="24" spans="1:9" ht="22.5" customHeight="1">
      <c r="A24" s="240" t="str">
        <f>'[1]時間表'!P20</f>
        <v>C</v>
      </c>
      <c r="B24" s="241" t="s">
        <v>97</v>
      </c>
      <c r="C24" s="105" t="str">
        <f>'時間表'!Q24</f>
        <v>富雄第三</v>
      </c>
      <c r="D24" s="244" t="str">
        <f>'時間表'!R24</f>
        <v>鴻池サブＧ（Ｂ）</v>
      </c>
      <c r="E24" s="91"/>
      <c r="F24" s="240" t="str">
        <f>'[1]時間表'!T20</f>
        <v>G</v>
      </c>
      <c r="G24" s="241" t="s">
        <v>97</v>
      </c>
      <c r="H24" s="106" t="str">
        <f>'時間表'!U24</f>
        <v>ｿﾚｽﾃﾚｰｼﾞｬ</v>
      </c>
      <c r="I24" s="237" t="str">
        <f>'時間表'!V24</f>
        <v>西部生涯Ｇ</v>
      </c>
    </row>
    <row r="25" spans="1:9" ht="22.5" customHeight="1">
      <c r="A25" s="240"/>
      <c r="B25" s="242"/>
      <c r="C25" s="105" t="str">
        <f>'時間表'!Q25</f>
        <v>泉</v>
      </c>
      <c r="D25" s="245"/>
      <c r="E25" s="91"/>
      <c r="F25" s="240"/>
      <c r="G25" s="242"/>
      <c r="H25" s="106" t="str">
        <f>'時間表'!U25</f>
        <v>野　畑</v>
      </c>
      <c r="I25" s="238"/>
    </row>
    <row r="26" spans="1:9" ht="22.5" customHeight="1">
      <c r="A26" s="240"/>
      <c r="B26" s="243"/>
      <c r="C26" s="105" t="str">
        <f>'時間表'!Q27</f>
        <v>滋賀ｾﾝﾄﾗﾙ</v>
      </c>
      <c r="D26" s="245"/>
      <c r="E26" s="91"/>
      <c r="F26" s="240"/>
      <c r="G26" s="243"/>
      <c r="H26" s="106" t="str">
        <f>'時間表'!U27</f>
        <v>大　原</v>
      </c>
      <c r="I26" s="238"/>
    </row>
    <row r="27" spans="1:9" ht="22.5" customHeight="1">
      <c r="A27" s="240"/>
      <c r="B27" s="241" t="s">
        <v>98</v>
      </c>
      <c r="C27" s="105" t="str">
        <f>'時間表'!Q29</f>
        <v>奈良FCjr</v>
      </c>
      <c r="D27" s="245"/>
      <c r="E27" s="91"/>
      <c r="F27" s="240"/>
      <c r="G27" s="241" t="s">
        <v>98</v>
      </c>
      <c r="H27" s="106" t="str">
        <f>'時間表'!U29</f>
        <v>六　条</v>
      </c>
      <c r="I27" s="238"/>
    </row>
    <row r="28" spans="1:9" ht="22.5" customHeight="1">
      <c r="A28" s="240"/>
      <c r="B28" s="242"/>
      <c r="C28" s="107" t="str">
        <f>'時間表'!Q31</f>
        <v>門真北風</v>
      </c>
      <c r="D28" s="245"/>
      <c r="E28" s="91"/>
      <c r="F28" s="240"/>
      <c r="G28" s="242"/>
      <c r="H28" s="106" t="str">
        <f>'時間表'!U31</f>
        <v>桜　井</v>
      </c>
      <c r="I28" s="238"/>
    </row>
    <row r="29" spans="1:9" ht="22.5" customHeight="1">
      <c r="A29" s="240"/>
      <c r="B29" s="243"/>
      <c r="C29" s="107" t="str">
        <f>'時間表'!Q32</f>
        <v>柏原キッズ</v>
      </c>
      <c r="D29" s="246"/>
      <c r="E29" s="91"/>
      <c r="F29" s="240"/>
      <c r="G29" s="243"/>
      <c r="H29" s="106" t="str">
        <f>'時間表'!U32</f>
        <v>ひじり</v>
      </c>
      <c r="I29" s="239"/>
    </row>
    <row r="30" spans="1:9" ht="15" customHeight="1">
      <c r="A30" s="102"/>
      <c r="B30" s="91"/>
      <c r="C30" s="91"/>
      <c r="D30" s="91"/>
      <c r="E30" s="91"/>
      <c r="F30" s="91"/>
      <c r="G30" s="91"/>
      <c r="H30" s="91"/>
      <c r="I30" s="91"/>
    </row>
    <row r="31" spans="1:9" ht="22.5" customHeight="1">
      <c r="A31" s="236" t="s">
        <v>120</v>
      </c>
      <c r="B31" s="236"/>
      <c r="C31" s="103" t="s">
        <v>95</v>
      </c>
      <c r="D31" s="103" t="s">
        <v>94</v>
      </c>
      <c r="E31" s="91"/>
      <c r="F31" s="236" t="s">
        <v>120</v>
      </c>
      <c r="G31" s="236"/>
      <c r="H31" s="103" t="s">
        <v>95</v>
      </c>
      <c r="I31" s="103" t="s">
        <v>94</v>
      </c>
    </row>
    <row r="32" spans="1:9" ht="22.5" customHeight="1">
      <c r="A32" s="240" t="str">
        <f>'[1]時間表'!P28</f>
        <v>D</v>
      </c>
      <c r="B32" s="236" t="s">
        <v>97</v>
      </c>
      <c r="C32" s="107" t="str">
        <f>'時間表'!Q35</f>
        <v>富　雄</v>
      </c>
      <c r="D32" s="244" t="str">
        <f>'時間表'!R35</f>
        <v>鴻池投擲場Ｇ</v>
      </c>
      <c r="E32" s="91"/>
      <c r="F32" s="240" t="str">
        <f>'[1]時間表'!T28</f>
        <v>H</v>
      </c>
      <c r="G32" s="236" t="s">
        <v>121</v>
      </c>
      <c r="H32" s="106" t="str">
        <f>'時間表'!U35</f>
        <v>あやめ池</v>
      </c>
      <c r="I32" s="249" t="str">
        <f>'時間表'!V35</f>
        <v>東市小学校G</v>
      </c>
    </row>
    <row r="33" spans="1:9" ht="22.5" customHeight="1">
      <c r="A33" s="240"/>
      <c r="B33" s="236"/>
      <c r="C33" s="105" t="str">
        <f>'時間表'!Q36</f>
        <v>センチュリー</v>
      </c>
      <c r="D33" s="245"/>
      <c r="E33" s="91"/>
      <c r="F33" s="240"/>
      <c r="G33" s="236"/>
      <c r="H33" s="106" t="str">
        <f>'時間表'!U36</f>
        <v>STELO</v>
      </c>
      <c r="I33" s="249"/>
    </row>
    <row r="34" spans="1:9" ht="22.5" customHeight="1">
      <c r="A34" s="240"/>
      <c r="B34" s="236"/>
      <c r="C34" s="105" t="str">
        <f>'時間表'!Q37</f>
        <v>高石中央</v>
      </c>
      <c r="D34" s="245"/>
      <c r="E34" s="91"/>
      <c r="F34" s="240"/>
      <c r="G34" s="236"/>
      <c r="H34" s="106" t="str">
        <f>'時間表'!U37</f>
        <v>水　戸</v>
      </c>
      <c r="I34" s="249"/>
    </row>
    <row r="35" spans="1:9" ht="22.5" customHeight="1">
      <c r="A35" s="240"/>
      <c r="B35" s="236" t="s">
        <v>122</v>
      </c>
      <c r="C35" s="105" t="str">
        <f>'時間表'!Q38</f>
        <v>アルボーレ</v>
      </c>
      <c r="D35" s="245"/>
      <c r="E35" s="91"/>
      <c r="F35" s="240"/>
      <c r="G35" s="236" t="s">
        <v>122</v>
      </c>
      <c r="H35" s="106" t="str">
        <f>'時間表'!U38</f>
        <v>都南東市</v>
      </c>
      <c r="I35" s="249"/>
    </row>
    <row r="36" spans="1:9" ht="22.5" customHeight="1">
      <c r="A36" s="240"/>
      <c r="B36" s="236"/>
      <c r="C36" s="105" t="str">
        <f>'時間表'!Q39</f>
        <v>CAOS</v>
      </c>
      <c r="D36" s="245"/>
      <c r="E36" s="91"/>
      <c r="F36" s="240"/>
      <c r="G36" s="236"/>
      <c r="H36" s="106" t="str">
        <f>'時間表'!U39</f>
        <v>アーヴォリ</v>
      </c>
      <c r="I36" s="249"/>
    </row>
    <row r="37" spans="1:9" ht="22.5" customHeight="1">
      <c r="A37" s="240"/>
      <c r="B37" s="236"/>
      <c r="C37" s="105" t="str">
        <f>'時間表'!Q41</f>
        <v>FCうりぼう</v>
      </c>
      <c r="D37" s="246"/>
      <c r="E37" s="91"/>
      <c r="F37" s="240"/>
      <c r="G37" s="236"/>
      <c r="H37" s="106" t="str">
        <f>'時間表'!U41</f>
        <v>USFC</v>
      </c>
      <c r="I37" s="249"/>
    </row>
  </sheetData>
  <sheetProtection selectLockedCells="1"/>
  <mergeCells count="42">
    <mergeCell ref="G32:G34"/>
    <mergeCell ref="F32:F37"/>
    <mergeCell ref="A23:B23"/>
    <mergeCell ref="D24:D29"/>
    <mergeCell ref="D32:D37"/>
    <mergeCell ref="I32:I37"/>
    <mergeCell ref="B32:B34"/>
    <mergeCell ref="B24:B26"/>
    <mergeCell ref="A31:B31"/>
    <mergeCell ref="F31:G31"/>
    <mergeCell ref="I24:I29"/>
    <mergeCell ref="G27:G29"/>
    <mergeCell ref="F23:G23"/>
    <mergeCell ref="F24:F29"/>
    <mergeCell ref="B27:B29"/>
    <mergeCell ref="A2:I2"/>
    <mergeCell ref="A4:I4"/>
    <mergeCell ref="A7:B7"/>
    <mergeCell ref="F7:G7"/>
    <mergeCell ref="A8:A13"/>
    <mergeCell ref="G16:G18"/>
    <mergeCell ref="A24:A29"/>
    <mergeCell ref="I16:I21"/>
    <mergeCell ref="B19:B21"/>
    <mergeCell ref="G19:G21"/>
    <mergeCell ref="I8:I13"/>
    <mergeCell ref="F8:F13"/>
    <mergeCell ref="G11:G13"/>
    <mergeCell ref="B8:B10"/>
    <mergeCell ref="D8:D13"/>
    <mergeCell ref="B11:B13"/>
    <mergeCell ref="G8:G10"/>
    <mergeCell ref="B35:B37"/>
    <mergeCell ref="D16:D21"/>
    <mergeCell ref="F16:F21"/>
    <mergeCell ref="A15:B15"/>
    <mergeCell ref="F15:G15"/>
    <mergeCell ref="G24:G26"/>
    <mergeCell ref="G35:G37"/>
    <mergeCell ref="A32:A37"/>
    <mergeCell ref="A16:A21"/>
    <mergeCell ref="B16:B18"/>
  </mergeCells>
  <printOptions/>
  <pageMargins left="0.9055118110236221" right="0.5118110236220472" top="0.7480314960629921" bottom="0.5511811023622047" header="0.31496062992125984" footer="0.31496062992125984"/>
  <pageSetup horizontalDpi="300" verticalDpi="300" orientation="portrait" paperSize="9" r:id="rId1"/>
  <headerFooter>
    <oddFooter>&amp;C&amp;[３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91"/>
  <sheetViews>
    <sheetView zoomScalePageLayoutView="0" workbookViewId="0" topLeftCell="A19">
      <selection activeCell="AP54" sqref="AP54:AQ55"/>
    </sheetView>
  </sheetViews>
  <sheetFormatPr defaultColWidth="2.125" defaultRowHeight="9" customHeight="1"/>
  <cols>
    <col min="1" max="25" width="2.125" style="1" customWidth="1"/>
    <col min="26" max="41" width="2.125" style="2" customWidth="1"/>
    <col min="42" max="43" width="2.125" style="1" customWidth="1"/>
    <col min="44" max="44" width="4.875" style="1" hidden="1" customWidth="1"/>
    <col min="45" max="47" width="5.75390625" style="1" hidden="1" customWidth="1"/>
    <col min="48" max="48" width="6.25390625" style="1" hidden="1" customWidth="1"/>
    <col min="49" max="49" width="1.75390625" style="1" hidden="1" customWidth="1"/>
    <col min="50" max="50" width="1.625" style="1" hidden="1" customWidth="1"/>
    <col min="51" max="51" width="2.00390625" style="1" hidden="1" customWidth="1"/>
    <col min="52" max="52" width="2.75390625" style="1" hidden="1" customWidth="1"/>
    <col min="53" max="53" width="2.125" style="1" hidden="1" customWidth="1"/>
    <col min="54" max="54" width="2.25390625" style="1" hidden="1" customWidth="1"/>
    <col min="55" max="55" width="2.00390625" style="1" hidden="1" customWidth="1"/>
    <col min="56" max="56" width="2.375" style="1" hidden="1" customWidth="1"/>
    <col min="57" max="57" width="7.00390625" style="1" hidden="1" customWidth="1"/>
    <col min="58" max="58" width="3.00390625" style="1" hidden="1" customWidth="1"/>
    <col min="59" max="59" width="1.625" style="1" hidden="1" customWidth="1"/>
    <col min="60" max="60" width="2.375" style="1" hidden="1" customWidth="1"/>
    <col min="61" max="61" width="2.50390625" style="1" hidden="1" customWidth="1"/>
    <col min="62" max="62" width="2.75390625" style="1" hidden="1" customWidth="1"/>
    <col min="63" max="63" width="3.00390625" style="1" hidden="1" customWidth="1"/>
    <col min="64" max="64" width="4.625" style="1" hidden="1" customWidth="1"/>
    <col min="65" max="65" width="2.75390625" style="1" hidden="1" customWidth="1"/>
    <col min="66" max="66" width="2.25390625" style="1" hidden="1" customWidth="1"/>
    <col min="67" max="67" width="1.625" style="1" hidden="1" customWidth="1"/>
    <col min="68" max="68" width="2.625" style="1" hidden="1" customWidth="1"/>
    <col min="69" max="69" width="1.875" style="1" hidden="1" customWidth="1"/>
    <col min="70" max="70" width="1.75390625" style="1" hidden="1" customWidth="1"/>
    <col min="71" max="71" width="1.625" style="1" hidden="1" customWidth="1"/>
    <col min="72" max="72" width="1.4921875" style="1" hidden="1" customWidth="1"/>
    <col min="73" max="73" width="15.25390625" style="1" hidden="1" customWidth="1"/>
    <col min="74" max="74" width="3.25390625" style="1" hidden="1" customWidth="1"/>
    <col min="75" max="16384" width="2.125" style="1" customWidth="1"/>
  </cols>
  <sheetData>
    <row r="1" spans="26:41" ht="9" customHeight="1"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2:43" ht="9" customHeight="1">
      <c r="B2" s="312" t="s">
        <v>189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3" t="s">
        <v>117</v>
      </c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</row>
    <row r="3" spans="2:43" ht="9" customHeight="1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</row>
    <row r="4" spans="2:43" ht="9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313" t="s">
        <v>118</v>
      </c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</row>
    <row r="5" spans="2:43" ht="9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</row>
    <row r="6" spans="1:64" ht="9" customHeight="1" thickBot="1">
      <c r="A6" s="19"/>
      <c r="B6" s="314" t="s">
        <v>61</v>
      </c>
      <c r="C6" s="314"/>
      <c r="D6" s="307" t="str">
        <f>'時間表'!R5</f>
        <v>南部生涯Ｇ</v>
      </c>
      <c r="E6" s="308"/>
      <c r="F6" s="308"/>
      <c r="G6" s="308"/>
      <c r="H6" s="308"/>
      <c r="I6" s="307"/>
      <c r="J6" s="307"/>
      <c r="K6" s="307"/>
      <c r="L6" s="307"/>
      <c r="M6" s="307"/>
      <c r="N6" s="307"/>
      <c r="O6" s="307"/>
      <c r="P6" s="307"/>
      <c r="Q6" s="20"/>
      <c r="R6" s="20"/>
      <c r="S6" s="20"/>
      <c r="T6" s="19"/>
      <c r="U6" s="19"/>
      <c r="V6" s="19"/>
      <c r="W6" s="19"/>
      <c r="X6" s="19"/>
      <c r="Y6" s="19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ht="9" customHeight="1">
      <c r="A7" s="19"/>
      <c r="B7" s="314"/>
      <c r="C7" s="314"/>
      <c r="D7" s="307"/>
      <c r="E7" s="309"/>
      <c r="F7" s="309"/>
      <c r="G7" s="309"/>
      <c r="H7" s="309"/>
      <c r="I7" s="309"/>
      <c r="J7" s="309"/>
      <c r="K7" s="309"/>
      <c r="L7" s="309"/>
      <c r="M7" s="307"/>
      <c r="N7" s="307"/>
      <c r="O7" s="307"/>
      <c r="P7" s="307"/>
      <c r="Q7" s="20"/>
      <c r="R7" s="20"/>
      <c r="S7" s="20"/>
      <c r="T7" s="19"/>
      <c r="U7" s="19"/>
      <c r="V7" s="19"/>
      <c r="W7" s="19"/>
      <c r="X7" s="19"/>
      <c r="Y7" s="19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ht="9" customHeight="1" thickBot="1">
      <c r="A8" s="19"/>
      <c r="B8" s="19"/>
      <c r="C8" s="19"/>
      <c r="D8" s="19"/>
      <c r="E8" s="207"/>
      <c r="F8" s="207"/>
      <c r="G8" s="207"/>
      <c r="H8" s="207"/>
      <c r="I8" s="207"/>
      <c r="J8" s="207"/>
      <c r="K8" s="207"/>
      <c r="L8" s="207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ht="9" customHeight="1" thickBot="1">
      <c r="A9" s="19"/>
      <c r="B9" s="283" t="str">
        <f>'時間表'!P4</f>
        <v>A</v>
      </c>
      <c r="C9" s="284"/>
      <c r="D9" s="287" t="s">
        <v>79</v>
      </c>
      <c r="E9" s="315"/>
      <c r="F9" s="315"/>
      <c r="G9" s="316"/>
      <c r="H9" s="272" t="str">
        <f>B11</f>
        <v>奈良YMCA</v>
      </c>
      <c r="I9" s="272"/>
      <c r="J9" s="272"/>
      <c r="K9" s="306"/>
      <c r="L9" s="306"/>
      <c r="M9" s="278"/>
      <c r="N9" s="278" t="str">
        <f>B13</f>
        <v>下　田</v>
      </c>
      <c r="O9" s="278"/>
      <c r="P9" s="278"/>
      <c r="Q9" s="278"/>
      <c r="R9" s="278"/>
      <c r="S9" s="278"/>
      <c r="T9" s="278" t="str">
        <f>B15</f>
        <v>石　津</v>
      </c>
      <c r="U9" s="278"/>
      <c r="V9" s="278"/>
      <c r="W9" s="278"/>
      <c r="X9" s="278"/>
      <c r="Y9" s="278"/>
      <c r="Z9" s="271" t="s">
        <v>62</v>
      </c>
      <c r="AA9" s="271"/>
      <c r="AB9" s="271" t="s">
        <v>63</v>
      </c>
      <c r="AC9" s="271"/>
      <c r="AD9" s="271" t="s">
        <v>64</v>
      </c>
      <c r="AE9" s="271"/>
      <c r="AF9" s="271" t="s">
        <v>67</v>
      </c>
      <c r="AG9" s="271"/>
      <c r="AH9" s="271" t="s">
        <v>65</v>
      </c>
      <c r="AI9" s="271"/>
      <c r="AJ9" s="278" t="s">
        <v>69</v>
      </c>
      <c r="AK9" s="278"/>
      <c r="AL9" s="271" t="s">
        <v>66</v>
      </c>
      <c r="AM9" s="271"/>
      <c r="AN9" s="271" t="s">
        <v>68</v>
      </c>
      <c r="AO9" s="271"/>
      <c r="AP9" s="317" t="s">
        <v>93</v>
      </c>
      <c r="AQ9" s="292"/>
      <c r="AR9" s="310" t="s">
        <v>57</v>
      </c>
      <c r="AS9" s="310" t="s">
        <v>59</v>
      </c>
      <c r="AT9" s="310" t="s">
        <v>58</v>
      </c>
      <c r="AU9" s="189"/>
      <c r="AV9" s="310" t="s">
        <v>60</v>
      </c>
      <c r="AW9" s="19"/>
      <c r="AX9" s="19"/>
      <c r="AY9" s="19"/>
      <c r="AZ9" s="19"/>
      <c r="BA9" s="350" t="str">
        <f>B9</f>
        <v>A</v>
      </c>
      <c r="BB9" s="351"/>
      <c r="BC9" s="351" t="s">
        <v>88</v>
      </c>
      <c r="BD9" s="351"/>
      <c r="BE9" s="351"/>
      <c r="BF9" s="354"/>
      <c r="BG9" s="137"/>
      <c r="BH9" s="137"/>
      <c r="BI9" s="137"/>
      <c r="BJ9" s="137"/>
      <c r="BK9" s="137"/>
      <c r="BL9" s="137"/>
    </row>
    <row r="10" spans="1:64" ht="9" customHeight="1">
      <c r="A10" s="19"/>
      <c r="B10" s="285"/>
      <c r="C10" s="286"/>
      <c r="D10" s="289"/>
      <c r="E10" s="289"/>
      <c r="F10" s="289"/>
      <c r="G10" s="290"/>
      <c r="H10" s="278"/>
      <c r="I10" s="278"/>
      <c r="J10" s="278"/>
      <c r="K10" s="272"/>
      <c r="L10" s="272"/>
      <c r="M10" s="278"/>
      <c r="N10" s="278"/>
      <c r="O10" s="271"/>
      <c r="P10" s="271"/>
      <c r="Q10" s="278"/>
      <c r="R10" s="278"/>
      <c r="S10" s="278"/>
      <c r="T10" s="278"/>
      <c r="U10" s="278"/>
      <c r="V10" s="278"/>
      <c r="W10" s="278"/>
      <c r="X10" s="278"/>
      <c r="Y10" s="278"/>
      <c r="Z10" s="272"/>
      <c r="AA10" s="272"/>
      <c r="AB10" s="272"/>
      <c r="AC10" s="272"/>
      <c r="AD10" s="272"/>
      <c r="AE10" s="272"/>
      <c r="AF10" s="277"/>
      <c r="AG10" s="277"/>
      <c r="AH10" s="272"/>
      <c r="AI10" s="272"/>
      <c r="AJ10" s="278"/>
      <c r="AK10" s="278"/>
      <c r="AL10" s="272"/>
      <c r="AM10" s="272"/>
      <c r="AN10" s="277"/>
      <c r="AO10" s="277"/>
      <c r="AP10" s="293"/>
      <c r="AQ10" s="294"/>
      <c r="AR10" s="310"/>
      <c r="AS10" s="310"/>
      <c r="AT10" s="310"/>
      <c r="AU10" s="189"/>
      <c r="AV10" s="310"/>
      <c r="AW10" s="19"/>
      <c r="AX10" s="19"/>
      <c r="AY10" s="19"/>
      <c r="AZ10" s="19"/>
      <c r="BA10" s="352"/>
      <c r="BB10" s="353"/>
      <c r="BC10" s="353"/>
      <c r="BD10" s="353"/>
      <c r="BE10" s="353"/>
      <c r="BF10" s="355"/>
      <c r="BG10" s="137"/>
      <c r="BH10" s="137"/>
      <c r="BI10" s="137"/>
      <c r="BJ10" s="137"/>
      <c r="BK10" s="137"/>
      <c r="BL10" s="137"/>
    </row>
    <row r="11" spans="1:74" ht="9" customHeight="1">
      <c r="A11" s="263">
        <f>AN11</f>
        <v>1</v>
      </c>
      <c r="B11" s="264" t="str">
        <f>'時間表'!Q5</f>
        <v>奈良YMCA</v>
      </c>
      <c r="C11" s="265"/>
      <c r="D11" s="265"/>
      <c r="E11" s="265"/>
      <c r="F11" s="265"/>
      <c r="G11" s="266"/>
      <c r="H11" s="273"/>
      <c r="I11" s="273"/>
      <c r="J11" s="273"/>
      <c r="K11" s="273"/>
      <c r="L11" s="273"/>
      <c r="M11" s="274"/>
      <c r="N11" s="261" t="str">
        <f>IF(O11="","",IF(O11&gt;R11,"○",IF(O11&lt;R11,"●","△")))</f>
        <v>○</v>
      </c>
      <c r="O11" s="254">
        <f>IF('時間表'!D5="","",'時間表'!D5)</f>
        <v>6</v>
      </c>
      <c r="P11" s="254"/>
      <c r="Q11" s="34"/>
      <c r="R11" s="254">
        <f>IF('時間表'!F5="","",'時間表'!F5)</f>
        <v>0</v>
      </c>
      <c r="S11" s="254"/>
      <c r="T11" s="261" t="str">
        <f>IF(U11="","",IF(U11&gt;X11,"○",IF(U11&lt;X11,"●","△")))</f>
        <v>○</v>
      </c>
      <c r="U11" s="254">
        <f>IF('時間表'!D7="","",'時間表'!D7)</f>
        <v>2</v>
      </c>
      <c r="V11" s="254"/>
      <c r="W11" s="34"/>
      <c r="X11" s="254">
        <f>IF('時間表'!F7="","",'時間表'!F7)</f>
        <v>0</v>
      </c>
      <c r="Y11" s="254"/>
      <c r="Z11" s="321">
        <f>IF('時間表'!D5="","",COUNTIF($H11:$Y12,"○"))</f>
        <v>2</v>
      </c>
      <c r="AA11" s="322"/>
      <c r="AB11" s="321">
        <f>IF('時間表'!D5="","",COUNTIF($H11:$Y12,"△"))</f>
        <v>0</v>
      </c>
      <c r="AC11" s="322"/>
      <c r="AD11" s="321">
        <f>IF('時間表'!D5="","",COUNTIF($H11:$Y12,"●"))</f>
        <v>0</v>
      </c>
      <c r="AE11" s="322"/>
      <c r="AF11" s="311">
        <f>_xlfn.IFERROR(Z11*3+AB11,"")</f>
        <v>6</v>
      </c>
      <c r="AG11" s="311"/>
      <c r="AH11" s="325">
        <f>_xlfn.IFERROR(O11+U11,"")</f>
        <v>8</v>
      </c>
      <c r="AI11" s="326"/>
      <c r="AJ11" s="311">
        <f>_xlfn.IFERROR(R11+X11,"")</f>
        <v>0</v>
      </c>
      <c r="AK11" s="311"/>
      <c r="AL11" s="329">
        <f>_xlfn.IFERROR(AH11-AJ11,"")</f>
        <v>8</v>
      </c>
      <c r="AM11" s="330"/>
      <c r="AN11" s="311">
        <f>IF('時間表'!D5="","",RANK(AV11,$AV$11:$AV$16,1))</f>
        <v>1</v>
      </c>
      <c r="AO11" s="311"/>
      <c r="AP11" s="311">
        <f>_xlfn.IFERROR(BA11,"")</f>
        <v>1</v>
      </c>
      <c r="AQ11" s="311"/>
      <c r="AR11" s="250">
        <f>_xlfn.IFERROR(100*RANK(AF11,AF11:AG16,0),"")</f>
        <v>100</v>
      </c>
      <c r="AS11" s="250">
        <f>_xlfn.IFERROR(10*RANK(AL11,AL11:AM16,0),"")</f>
        <v>10</v>
      </c>
      <c r="AT11" s="250">
        <f>_xlfn.IFERROR(RANK(AH11,AH11:AI16,0),"")</f>
        <v>1</v>
      </c>
      <c r="AU11" s="45"/>
      <c r="AV11" s="250">
        <f>_xlfn.IFERROR(SUM(AR11:AT12),"")</f>
        <v>111</v>
      </c>
      <c r="AW11" s="19"/>
      <c r="AX11" s="19"/>
      <c r="AY11" s="19"/>
      <c r="AZ11" s="19"/>
      <c r="BA11" s="278">
        <f>VLOOKUP(BB11,BU11:BV22,2,0)</f>
        <v>1</v>
      </c>
      <c r="BB11" s="278" t="str">
        <f>B11</f>
        <v>奈良YMCA</v>
      </c>
      <c r="BC11" s="278"/>
      <c r="BD11" s="278"/>
      <c r="BE11" s="278"/>
      <c r="BF11" s="278"/>
      <c r="BG11" s="39"/>
      <c r="BH11" s="39"/>
      <c r="BI11" s="39"/>
      <c r="BJ11" s="5"/>
      <c r="BK11" s="375" t="str">
        <f>G27</f>
        <v>奈良YMCA</v>
      </c>
      <c r="BL11" s="375"/>
      <c r="BM11" s="375"/>
      <c r="BN11" s="375"/>
      <c r="BO11" s="376" t="str">
        <f>IF(L27&gt;L30,"1",IF(L27&lt;L30,"2","0"))</f>
        <v>1</v>
      </c>
      <c r="BP11" s="376"/>
      <c r="BQ11" s="375" t="str">
        <f>IF(N27&gt;N30,"1",IF(N27&lt;N30,"2","0"))</f>
        <v>0</v>
      </c>
      <c r="BR11" s="375"/>
      <c r="BS11" s="375">
        <f>BO11+BQ11</f>
        <v>1</v>
      </c>
      <c r="BT11" s="375"/>
      <c r="BU11" s="377" t="str">
        <f>BK11</f>
        <v>奈良YMCA</v>
      </c>
      <c r="BV11" s="377">
        <f>BS11</f>
        <v>1</v>
      </c>
    </row>
    <row r="12" spans="1:74" ht="9" customHeight="1">
      <c r="A12" s="263"/>
      <c r="B12" s="264"/>
      <c r="C12" s="265"/>
      <c r="D12" s="265"/>
      <c r="E12" s="265"/>
      <c r="F12" s="265"/>
      <c r="G12" s="266"/>
      <c r="H12" s="275"/>
      <c r="I12" s="273"/>
      <c r="J12" s="318"/>
      <c r="K12" s="275"/>
      <c r="L12" s="275"/>
      <c r="M12" s="276"/>
      <c r="N12" s="262"/>
      <c r="O12" s="255"/>
      <c r="P12" s="255"/>
      <c r="Q12" s="35"/>
      <c r="R12" s="255"/>
      <c r="S12" s="255"/>
      <c r="T12" s="262"/>
      <c r="U12" s="255"/>
      <c r="V12" s="255"/>
      <c r="W12" s="35"/>
      <c r="X12" s="255"/>
      <c r="Y12" s="255"/>
      <c r="Z12" s="323"/>
      <c r="AA12" s="324"/>
      <c r="AB12" s="323"/>
      <c r="AC12" s="324"/>
      <c r="AD12" s="323"/>
      <c r="AE12" s="324"/>
      <c r="AF12" s="311"/>
      <c r="AG12" s="311"/>
      <c r="AH12" s="327"/>
      <c r="AI12" s="328"/>
      <c r="AJ12" s="311"/>
      <c r="AK12" s="311"/>
      <c r="AL12" s="329"/>
      <c r="AM12" s="330"/>
      <c r="AN12" s="311"/>
      <c r="AO12" s="311"/>
      <c r="AP12" s="311"/>
      <c r="AQ12" s="311"/>
      <c r="AR12" s="250"/>
      <c r="AS12" s="250"/>
      <c r="AT12" s="250"/>
      <c r="AU12" s="45"/>
      <c r="AV12" s="250"/>
      <c r="AW12" s="19"/>
      <c r="AX12" s="19"/>
      <c r="AY12" s="19"/>
      <c r="AZ12" s="19"/>
      <c r="BA12" s="278"/>
      <c r="BB12" s="278"/>
      <c r="BC12" s="278"/>
      <c r="BD12" s="278"/>
      <c r="BE12" s="278"/>
      <c r="BF12" s="278"/>
      <c r="BG12" s="39"/>
      <c r="BH12" s="39"/>
      <c r="BI12" s="39"/>
      <c r="BJ12" s="5"/>
      <c r="BK12" s="375"/>
      <c r="BL12" s="375"/>
      <c r="BM12" s="375"/>
      <c r="BN12" s="375"/>
      <c r="BO12" s="376"/>
      <c r="BP12" s="376"/>
      <c r="BQ12" s="375"/>
      <c r="BR12" s="375"/>
      <c r="BS12" s="375"/>
      <c r="BT12" s="375"/>
      <c r="BU12" s="377"/>
      <c r="BV12" s="377"/>
    </row>
    <row r="13" spans="1:74" ht="9" customHeight="1">
      <c r="A13" s="263">
        <f>AN13</f>
        <v>3</v>
      </c>
      <c r="B13" s="335" t="str">
        <f>'時間表'!Q6</f>
        <v>下　田</v>
      </c>
      <c r="C13" s="255"/>
      <c r="D13" s="336"/>
      <c r="E13" s="337"/>
      <c r="F13" s="255"/>
      <c r="G13" s="282"/>
      <c r="H13" s="261" t="str">
        <f>IF(I13="","",IF(I13&gt;L13,"○",IF(I13&lt;L13,"●","△")))</f>
        <v>●</v>
      </c>
      <c r="I13" s="333">
        <f>R11</f>
        <v>0</v>
      </c>
      <c r="J13" s="254"/>
      <c r="K13" s="34"/>
      <c r="L13" s="254">
        <f>O11</f>
        <v>6</v>
      </c>
      <c r="M13" s="281"/>
      <c r="N13" s="251"/>
      <c r="O13" s="275"/>
      <c r="P13" s="338"/>
      <c r="Q13" s="252"/>
      <c r="R13" s="252"/>
      <c r="S13" s="252"/>
      <c r="T13" s="261" t="str">
        <f>IF(U13="","",IF(U13&gt;X13,"○",IF(U13&lt;X13,"●","△")))</f>
        <v>●</v>
      </c>
      <c r="U13" s="254">
        <f>IF('時間表'!D9="","",'時間表'!D9)</f>
        <v>1</v>
      </c>
      <c r="V13" s="254"/>
      <c r="W13" s="34"/>
      <c r="X13" s="254">
        <f>IF('時間表'!F9="","",'時間表'!F9)</f>
        <v>2</v>
      </c>
      <c r="Y13" s="254"/>
      <c r="Z13" s="321">
        <f>IF('時間表'!F5="","",COUNTIF($H13:$Y14,"○"))</f>
        <v>0</v>
      </c>
      <c r="AA13" s="322"/>
      <c r="AB13" s="321">
        <f>IF('時間表'!F5="","",COUNTIF($H13:$Y14,"△"))</f>
        <v>0</v>
      </c>
      <c r="AC13" s="322"/>
      <c r="AD13" s="321">
        <f>IF('時間表'!F5="","",COUNTIF($H13:$Y14,"●"))</f>
        <v>2</v>
      </c>
      <c r="AE13" s="322"/>
      <c r="AF13" s="311">
        <f>_xlfn.IFERROR(Z13*3+AB13,"")</f>
        <v>0</v>
      </c>
      <c r="AG13" s="311"/>
      <c r="AH13" s="325">
        <f>_xlfn.IFERROR(I13+U13,"")</f>
        <v>1</v>
      </c>
      <c r="AI13" s="326"/>
      <c r="AJ13" s="311">
        <f>_xlfn.IFERROR(L13+X13,"")</f>
        <v>8</v>
      </c>
      <c r="AK13" s="311"/>
      <c r="AL13" s="329">
        <f>_xlfn.IFERROR(AH13-AJ13,"")</f>
        <v>-7</v>
      </c>
      <c r="AM13" s="330"/>
      <c r="AN13" s="311">
        <f>IF('時間表'!F5="","",RANK(AV13,$AV$11:$AV$16,1))</f>
        <v>3</v>
      </c>
      <c r="AO13" s="311"/>
      <c r="AP13" s="311">
        <f>_xlfn.IFERROR(BA13,"")</f>
        <v>6</v>
      </c>
      <c r="AQ13" s="311"/>
      <c r="AR13" s="250">
        <f>_xlfn.IFERROR(100*RANK(AF13,AF11:AG16,0),"")</f>
        <v>300</v>
      </c>
      <c r="AS13" s="250">
        <f>_xlfn.IFERROR(10*RANK(AL13,AL11:AM16,0),"")</f>
        <v>30</v>
      </c>
      <c r="AT13" s="250">
        <f>_xlfn.IFERROR(RANK(AH13,AH11:AI16,0),"")</f>
        <v>3</v>
      </c>
      <c r="AU13" s="45"/>
      <c r="AV13" s="250">
        <f>_xlfn.IFERROR(SUM(AR13:AT14),"")</f>
        <v>333</v>
      </c>
      <c r="AW13" s="19"/>
      <c r="AX13" s="19"/>
      <c r="AY13" s="19"/>
      <c r="AZ13" s="19"/>
      <c r="BA13" s="278">
        <f>VLOOKUP(BB13,BU11:BV22,2,0)</f>
        <v>6</v>
      </c>
      <c r="BB13" s="278" t="str">
        <f>B13</f>
        <v>下　田</v>
      </c>
      <c r="BC13" s="278"/>
      <c r="BD13" s="278"/>
      <c r="BE13" s="278"/>
      <c r="BF13" s="278"/>
      <c r="BG13" s="39"/>
      <c r="BH13" s="39"/>
      <c r="BI13" s="39"/>
      <c r="BJ13" s="39"/>
      <c r="BK13" s="375" t="str">
        <f>G30</f>
        <v>三　笠</v>
      </c>
      <c r="BL13" s="375"/>
      <c r="BM13" s="375"/>
      <c r="BN13" s="375"/>
      <c r="BO13" s="376" t="str">
        <f>IF(L27&gt;L30,"2",IF(L27&lt;L30,"1","0"))</f>
        <v>2</v>
      </c>
      <c r="BP13" s="376"/>
      <c r="BQ13" s="375" t="str">
        <f>IF(N27&gt;N30,"2",IF(N27&lt;N30,"1","0"))</f>
        <v>0</v>
      </c>
      <c r="BR13" s="375"/>
      <c r="BS13" s="375">
        <f>BO13+BQ13</f>
        <v>2</v>
      </c>
      <c r="BT13" s="375"/>
      <c r="BU13" s="377" t="str">
        <f>BK13</f>
        <v>三　笠</v>
      </c>
      <c r="BV13" s="377">
        <f>BS13</f>
        <v>2</v>
      </c>
    </row>
    <row r="14" spans="1:74" ht="9" customHeight="1">
      <c r="A14" s="263"/>
      <c r="B14" s="264"/>
      <c r="C14" s="265"/>
      <c r="D14" s="331"/>
      <c r="E14" s="332"/>
      <c r="F14" s="265"/>
      <c r="G14" s="266"/>
      <c r="H14" s="262"/>
      <c r="I14" s="337"/>
      <c r="J14" s="255"/>
      <c r="K14" s="35"/>
      <c r="L14" s="255"/>
      <c r="M14" s="282"/>
      <c r="N14" s="251"/>
      <c r="O14" s="252"/>
      <c r="P14" s="339"/>
      <c r="Q14" s="252"/>
      <c r="R14" s="252"/>
      <c r="S14" s="252"/>
      <c r="T14" s="262"/>
      <c r="U14" s="255"/>
      <c r="V14" s="255"/>
      <c r="W14" s="35"/>
      <c r="X14" s="255"/>
      <c r="Y14" s="255"/>
      <c r="Z14" s="323"/>
      <c r="AA14" s="324"/>
      <c r="AB14" s="323"/>
      <c r="AC14" s="324"/>
      <c r="AD14" s="323"/>
      <c r="AE14" s="324"/>
      <c r="AF14" s="311"/>
      <c r="AG14" s="311"/>
      <c r="AH14" s="327"/>
      <c r="AI14" s="328"/>
      <c r="AJ14" s="311"/>
      <c r="AK14" s="311"/>
      <c r="AL14" s="329"/>
      <c r="AM14" s="330"/>
      <c r="AN14" s="311"/>
      <c r="AO14" s="311"/>
      <c r="AP14" s="311"/>
      <c r="AQ14" s="311"/>
      <c r="AR14" s="250"/>
      <c r="AS14" s="250"/>
      <c r="AT14" s="250"/>
      <c r="AU14" s="45"/>
      <c r="AV14" s="250"/>
      <c r="AW14" s="19"/>
      <c r="AX14" s="19"/>
      <c r="AY14" s="19"/>
      <c r="AZ14" s="19"/>
      <c r="BA14" s="278"/>
      <c r="BB14" s="278"/>
      <c r="BC14" s="278"/>
      <c r="BD14" s="278"/>
      <c r="BE14" s="278"/>
      <c r="BF14" s="278"/>
      <c r="BG14" s="39"/>
      <c r="BH14" s="39"/>
      <c r="BI14" s="39"/>
      <c r="BJ14" s="39"/>
      <c r="BK14" s="375"/>
      <c r="BL14" s="375"/>
      <c r="BM14" s="375"/>
      <c r="BN14" s="375"/>
      <c r="BO14" s="376"/>
      <c r="BP14" s="376"/>
      <c r="BQ14" s="375"/>
      <c r="BR14" s="375"/>
      <c r="BS14" s="375"/>
      <c r="BT14" s="375"/>
      <c r="BU14" s="377"/>
      <c r="BV14" s="377"/>
    </row>
    <row r="15" spans="1:74" ht="9" customHeight="1">
      <c r="A15" s="263">
        <f>AN15</f>
        <v>2</v>
      </c>
      <c r="B15" s="264" t="str">
        <f>'時間表'!Q7</f>
        <v>石　津</v>
      </c>
      <c r="C15" s="265"/>
      <c r="D15" s="331"/>
      <c r="E15" s="332"/>
      <c r="F15" s="265"/>
      <c r="G15" s="266"/>
      <c r="H15" s="261" t="str">
        <f>IF(I15="","",IF(I15&gt;L15,"○",IF(I15&lt;L15,"●","△")))</f>
        <v>●</v>
      </c>
      <c r="I15" s="333">
        <f>X11</f>
        <v>0</v>
      </c>
      <c r="J15" s="254"/>
      <c r="K15" s="34"/>
      <c r="L15" s="254">
        <f>U11</f>
        <v>2</v>
      </c>
      <c r="M15" s="281"/>
      <c r="N15" s="261" t="str">
        <f>IF(O15="","",IF(O15&gt;R15,"○",IF(O15&lt;R15,"●","△")))</f>
        <v>○</v>
      </c>
      <c r="O15" s="254">
        <f>X13</f>
        <v>2</v>
      </c>
      <c r="P15" s="334"/>
      <c r="Q15" s="34"/>
      <c r="R15" s="254">
        <f>U13</f>
        <v>1</v>
      </c>
      <c r="S15" s="281"/>
      <c r="T15" s="251"/>
      <c r="U15" s="252"/>
      <c r="V15" s="252"/>
      <c r="W15" s="252"/>
      <c r="X15" s="252"/>
      <c r="Y15" s="253"/>
      <c r="Z15" s="321">
        <f>IF('時間表'!F7="","",COUNTIF($H15:$Y16,"○"))</f>
        <v>1</v>
      </c>
      <c r="AA15" s="322"/>
      <c r="AB15" s="321">
        <f>IF('時間表'!F7="","",COUNTIF($H15:$Y16,"△"))</f>
        <v>0</v>
      </c>
      <c r="AC15" s="322"/>
      <c r="AD15" s="321">
        <f>IF('時間表'!F7="","",COUNTIF($H15:$Y16,"●"))</f>
        <v>1</v>
      </c>
      <c r="AE15" s="322"/>
      <c r="AF15" s="311">
        <f>_xlfn.IFERROR(Z15*3+AB15,"")</f>
        <v>3</v>
      </c>
      <c r="AG15" s="311"/>
      <c r="AH15" s="325">
        <f>_xlfn.IFERROR(O15+I15,"")</f>
        <v>2</v>
      </c>
      <c r="AI15" s="326"/>
      <c r="AJ15" s="311">
        <f>_xlfn.IFERROR(R15+L15,"")</f>
        <v>3</v>
      </c>
      <c r="AK15" s="311"/>
      <c r="AL15" s="329">
        <f>_xlfn.IFERROR(AH15-AJ15,"")</f>
        <v>-1</v>
      </c>
      <c r="AM15" s="330"/>
      <c r="AN15" s="311">
        <f>IF('時間表'!F7="","",RANK(AV15,$AV$11:$AV$16,1))</f>
        <v>2</v>
      </c>
      <c r="AO15" s="311"/>
      <c r="AP15" s="311">
        <f>_xlfn.IFERROR(BA15,"")</f>
        <v>4</v>
      </c>
      <c r="AQ15" s="311"/>
      <c r="AR15" s="250">
        <f>_xlfn.IFERROR(100*RANK(AF15,AF11:AG16,0),"")</f>
        <v>200</v>
      </c>
      <c r="AS15" s="250">
        <f>_xlfn.IFERROR(10*RANK(AL15,AL11:AM16,0),"")</f>
        <v>20</v>
      </c>
      <c r="AT15" s="250">
        <f>_xlfn.IFERROR(RANK(AH15,AH11:AI16,0),"")</f>
        <v>2</v>
      </c>
      <c r="AU15" s="45"/>
      <c r="AV15" s="250">
        <f>_xlfn.IFERROR(SUM(AR15:AT16),"")</f>
        <v>222</v>
      </c>
      <c r="AW15" s="19"/>
      <c r="AX15" s="19"/>
      <c r="AY15" s="19"/>
      <c r="AZ15" s="19"/>
      <c r="BA15" s="278">
        <f>VLOOKUP(BB15,BU11:BV22,2,0)</f>
        <v>4</v>
      </c>
      <c r="BB15" s="278" t="str">
        <f>B15</f>
        <v>石　津</v>
      </c>
      <c r="BC15" s="278"/>
      <c r="BD15" s="278"/>
      <c r="BE15" s="278"/>
      <c r="BF15" s="278"/>
      <c r="BG15" s="39"/>
      <c r="BH15" s="39"/>
      <c r="BI15" s="39"/>
      <c r="BJ15" s="39"/>
      <c r="BK15" s="375" t="str">
        <f>U27</f>
        <v>石　津</v>
      </c>
      <c r="BL15" s="375"/>
      <c r="BM15" s="375"/>
      <c r="BN15" s="375"/>
      <c r="BO15" s="376" t="str">
        <f>IF(Z27&gt;Z30,"3",IF(Z27&lt;Z30,"4","0"))</f>
        <v>4</v>
      </c>
      <c r="BP15" s="376"/>
      <c r="BQ15" s="375" t="str">
        <f>IF(AB27&gt;AB30,"3",IF(AB27&lt;AB30,"4","0"))</f>
        <v>0</v>
      </c>
      <c r="BR15" s="375"/>
      <c r="BS15" s="375">
        <f>BO15+BQ15</f>
        <v>4</v>
      </c>
      <c r="BT15" s="375"/>
      <c r="BU15" s="377" t="str">
        <f>BK15</f>
        <v>石　津</v>
      </c>
      <c r="BV15" s="377">
        <f>BS15</f>
        <v>4</v>
      </c>
    </row>
    <row r="16" spans="1:74" ht="9" customHeight="1">
      <c r="A16" s="263"/>
      <c r="B16" s="264"/>
      <c r="C16" s="265"/>
      <c r="D16" s="265"/>
      <c r="E16" s="265"/>
      <c r="F16" s="265"/>
      <c r="G16" s="266"/>
      <c r="H16" s="262"/>
      <c r="I16" s="255"/>
      <c r="J16" s="255"/>
      <c r="K16" s="35"/>
      <c r="L16" s="255"/>
      <c r="M16" s="282"/>
      <c r="N16" s="262"/>
      <c r="O16" s="255"/>
      <c r="P16" s="255"/>
      <c r="Q16" s="35"/>
      <c r="R16" s="255"/>
      <c r="S16" s="282"/>
      <c r="T16" s="251"/>
      <c r="U16" s="252"/>
      <c r="V16" s="252"/>
      <c r="W16" s="252"/>
      <c r="X16" s="252"/>
      <c r="Y16" s="253"/>
      <c r="Z16" s="323"/>
      <c r="AA16" s="324"/>
      <c r="AB16" s="323"/>
      <c r="AC16" s="324"/>
      <c r="AD16" s="323"/>
      <c r="AE16" s="324"/>
      <c r="AF16" s="311"/>
      <c r="AG16" s="311"/>
      <c r="AH16" s="327"/>
      <c r="AI16" s="328"/>
      <c r="AJ16" s="311"/>
      <c r="AK16" s="311"/>
      <c r="AL16" s="329"/>
      <c r="AM16" s="330"/>
      <c r="AN16" s="311"/>
      <c r="AO16" s="311"/>
      <c r="AP16" s="311"/>
      <c r="AQ16" s="311"/>
      <c r="AR16" s="250"/>
      <c r="AS16" s="250"/>
      <c r="AT16" s="250"/>
      <c r="AU16" s="45"/>
      <c r="AV16" s="250"/>
      <c r="AW16" s="19"/>
      <c r="AX16" s="19"/>
      <c r="AY16" s="19"/>
      <c r="AZ16" s="19"/>
      <c r="BA16" s="278"/>
      <c r="BB16" s="278"/>
      <c r="BC16" s="278"/>
      <c r="BD16" s="278"/>
      <c r="BE16" s="278"/>
      <c r="BF16" s="278"/>
      <c r="BG16" s="39"/>
      <c r="BH16" s="39"/>
      <c r="BI16" s="39"/>
      <c r="BJ16" s="39"/>
      <c r="BK16" s="375"/>
      <c r="BL16" s="375"/>
      <c r="BM16" s="375"/>
      <c r="BN16" s="375"/>
      <c r="BO16" s="376"/>
      <c r="BP16" s="376"/>
      <c r="BQ16" s="375"/>
      <c r="BR16" s="375"/>
      <c r="BS16" s="375"/>
      <c r="BT16" s="375"/>
      <c r="BU16" s="377"/>
      <c r="BV16" s="377"/>
    </row>
    <row r="17" spans="1:74" ht="9" customHeight="1">
      <c r="A17" s="19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3"/>
      <c r="Q17" s="22"/>
      <c r="R17" s="22"/>
      <c r="S17" s="22"/>
      <c r="T17" s="22"/>
      <c r="U17" s="22"/>
      <c r="V17" s="23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4"/>
      <c r="AI17" s="24"/>
      <c r="AJ17" s="24"/>
      <c r="AK17" s="24"/>
      <c r="AL17" s="22"/>
      <c r="AM17" s="22"/>
      <c r="AN17" s="22"/>
      <c r="AO17" s="22"/>
      <c r="AP17" s="19"/>
      <c r="AQ17" s="19"/>
      <c r="AR17" s="25"/>
      <c r="AS17" s="25"/>
      <c r="AT17" s="25"/>
      <c r="AU17" s="25"/>
      <c r="AV17" s="25"/>
      <c r="AW17" s="19"/>
      <c r="AX17" s="19"/>
      <c r="AY17" s="19"/>
      <c r="AZ17" s="19"/>
      <c r="BA17" s="278">
        <f>VLOOKUP(BB17,BU11:BV22,2,0)</f>
        <v>2</v>
      </c>
      <c r="BB17" s="278" t="str">
        <f>B20</f>
        <v>三　笠</v>
      </c>
      <c r="BC17" s="278"/>
      <c r="BD17" s="278"/>
      <c r="BE17" s="278"/>
      <c r="BF17" s="278"/>
      <c r="BG17" s="39"/>
      <c r="BH17" s="39"/>
      <c r="BI17" s="39"/>
      <c r="BJ17" s="39"/>
      <c r="BK17" s="375" t="str">
        <f>U30</f>
        <v>矢　倉</v>
      </c>
      <c r="BL17" s="375"/>
      <c r="BM17" s="375"/>
      <c r="BN17" s="375"/>
      <c r="BO17" s="376" t="str">
        <f>IF(Z27&gt;Z30,"4",IF(Z27&lt;Z30,"3","0"))</f>
        <v>3</v>
      </c>
      <c r="BP17" s="376"/>
      <c r="BQ17" s="375" t="str">
        <f>IF(AB27&gt;AB30,"4",IF(AB27&lt;AB30,"3","0"))</f>
        <v>0</v>
      </c>
      <c r="BR17" s="375"/>
      <c r="BS17" s="375">
        <f>BO17+BQ17</f>
        <v>3</v>
      </c>
      <c r="BT17" s="375"/>
      <c r="BU17" s="377" t="str">
        <f>BK17</f>
        <v>矢　倉</v>
      </c>
      <c r="BV17" s="377">
        <f>BS17</f>
        <v>3</v>
      </c>
    </row>
    <row r="18" spans="1:74" ht="9" customHeight="1">
      <c r="A18" s="19"/>
      <c r="B18" s="283" t="str">
        <f>B9</f>
        <v>A</v>
      </c>
      <c r="C18" s="284"/>
      <c r="D18" s="287" t="s">
        <v>80</v>
      </c>
      <c r="E18" s="287"/>
      <c r="F18" s="287"/>
      <c r="G18" s="288"/>
      <c r="H18" s="278" t="str">
        <f>B20</f>
        <v>三　笠</v>
      </c>
      <c r="I18" s="278"/>
      <c r="J18" s="278"/>
      <c r="K18" s="278"/>
      <c r="L18" s="278"/>
      <c r="M18" s="278"/>
      <c r="N18" s="278" t="str">
        <f>B22</f>
        <v>白　鷺</v>
      </c>
      <c r="O18" s="278"/>
      <c r="P18" s="278"/>
      <c r="Q18" s="278"/>
      <c r="R18" s="278"/>
      <c r="S18" s="278"/>
      <c r="T18" s="278" t="str">
        <f>B24</f>
        <v>矢　倉</v>
      </c>
      <c r="U18" s="278"/>
      <c r="V18" s="278"/>
      <c r="W18" s="278"/>
      <c r="X18" s="278"/>
      <c r="Y18" s="278"/>
      <c r="Z18" s="271" t="s">
        <v>62</v>
      </c>
      <c r="AA18" s="271"/>
      <c r="AB18" s="271" t="s">
        <v>63</v>
      </c>
      <c r="AC18" s="271"/>
      <c r="AD18" s="271" t="s">
        <v>64</v>
      </c>
      <c r="AE18" s="271"/>
      <c r="AF18" s="271" t="s">
        <v>67</v>
      </c>
      <c r="AG18" s="271"/>
      <c r="AH18" s="271" t="s">
        <v>65</v>
      </c>
      <c r="AI18" s="271"/>
      <c r="AJ18" s="278" t="s">
        <v>69</v>
      </c>
      <c r="AK18" s="278"/>
      <c r="AL18" s="271" t="s">
        <v>66</v>
      </c>
      <c r="AM18" s="271"/>
      <c r="AN18" s="271" t="s">
        <v>68</v>
      </c>
      <c r="AO18" s="271"/>
      <c r="AP18" s="291" t="s">
        <v>93</v>
      </c>
      <c r="AQ18" s="292"/>
      <c r="AR18" s="310" t="s">
        <v>57</v>
      </c>
      <c r="AS18" s="310" t="s">
        <v>59</v>
      </c>
      <c r="AT18" s="310" t="s">
        <v>58</v>
      </c>
      <c r="AU18" s="189"/>
      <c r="AV18" s="310" t="s">
        <v>60</v>
      </c>
      <c r="AW18" s="19"/>
      <c r="AX18" s="19"/>
      <c r="AY18" s="19"/>
      <c r="AZ18" s="19"/>
      <c r="BA18" s="278"/>
      <c r="BB18" s="278"/>
      <c r="BC18" s="278"/>
      <c r="BD18" s="278"/>
      <c r="BE18" s="278"/>
      <c r="BF18" s="278"/>
      <c r="BG18" s="39"/>
      <c r="BH18" s="39"/>
      <c r="BI18" s="39"/>
      <c r="BJ18" s="39"/>
      <c r="BK18" s="375"/>
      <c r="BL18" s="375"/>
      <c r="BM18" s="375"/>
      <c r="BN18" s="375"/>
      <c r="BO18" s="376"/>
      <c r="BP18" s="376"/>
      <c r="BQ18" s="375"/>
      <c r="BR18" s="375"/>
      <c r="BS18" s="375"/>
      <c r="BT18" s="375"/>
      <c r="BU18" s="377"/>
      <c r="BV18" s="377"/>
    </row>
    <row r="19" spans="1:74" ht="9" customHeight="1">
      <c r="A19" s="19"/>
      <c r="B19" s="285"/>
      <c r="C19" s="286"/>
      <c r="D19" s="289"/>
      <c r="E19" s="289"/>
      <c r="F19" s="289"/>
      <c r="G19" s="290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2"/>
      <c r="AA19" s="272"/>
      <c r="AB19" s="272"/>
      <c r="AC19" s="272"/>
      <c r="AD19" s="272"/>
      <c r="AE19" s="272"/>
      <c r="AF19" s="277"/>
      <c r="AG19" s="277"/>
      <c r="AH19" s="272"/>
      <c r="AI19" s="272"/>
      <c r="AJ19" s="278"/>
      <c r="AK19" s="278"/>
      <c r="AL19" s="272"/>
      <c r="AM19" s="272"/>
      <c r="AN19" s="277"/>
      <c r="AO19" s="277"/>
      <c r="AP19" s="293"/>
      <c r="AQ19" s="294"/>
      <c r="AR19" s="310"/>
      <c r="AS19" s="310"/>
      <c r="AT19" s="310"/>
      <c r="AU19" s="189"/>
      <c r="AV19" s="310"/>
      <c r="AW19" s="19"/>
      <c r="AX19" s="19"/>
      <c r="AY19" s="19"/>
      <c r="AZ19" s="19"/>
      <c r="BA19" s="278">
        <f>VLOOKUP(BB19,BU11:BV22,2,0)</f>
        <v>5</v>
      </c>
      <c r="BB19" s="278" t="str">
        <f>B22</f>
        <v>白　鷺</v>
      </c>
      <c r="BC19" s="278"/>
      <c r="BD19" s="278"/>
      <c r="BE19" s="278"/>
      <c r="BF19" s="278"/>
      <c r="BG19" s="39"/>
      <c r="BH19" s="39"/>
      <c r="BI19" s="39"/>
      <c r="BJ19" s="39"/>
      <c r="BK19" s="375" t="str">
        <f>AI27</f>
        <v>下　田</v>
      </c>
      <c r="BL19" s="375"/>
      <c r="BM19" s="375"/>
      <c r="BN19" s="375"/>
      <c r="BO19" s="376" t="str">
        <f>IF(AN27&gt;AN30,"5",IF(AN27&lt;AN30,"6","0"))</f>
        <v>0</v>
      </c>
      <c r="BP19" s="376"/>
      <c r="BQ19" s="375" t="str">
        <f>IF(AP27&gt;AP30,"5",IF(AP27&lt;AP30,"6","0"))</f>
        <v>6</v>
      </c>
      <c r="BR19" s="375"/>
      <c r="BS19" s="375">
        <f>BO19+BQ19</f>
        <v>6</v>
      </c>
      <c r="BT19" s="375"/>
      <c r="BU19" s="377" t="str">
        <f>BK19</f>
        <v>下　田</v>
      </c>
      <c r="BV19" s="377">
        <f>BS19</f>
        <v>6</v>
      </c>
    </row>
    <row r="20" spans="1:74" ht="9" customHeight="1">
      <c r="A20" s="263">
        <f>AN20</f>
        <v>1</v>
      </c>
      <c r="B20" s="264" t="str">
        <f>'時間表'!Q8</f>
        <v>三　笠</v>
      </c>
      <c r="C20" s="265"/>
      <c r="D20" s="265"/>
      <c r="E20" s="265"/>
      <c r="F20" s="265"/>
      <c r="G20" s="266"/>
      <c r="H20" s="273"/>
      <c r="I20" s="273"/>
      <c r="J20" s="273"/>
      <c r="K20" s="273"/>
      <c r="L20" s="273"/>
      <c r="M20" s="274"/>
      <c r="N20" s="261" t="str">
        <f>IF(O20="","",IF(O20&gt;R20,"○",IF(O20&lt;R20,"●","△")))</f>
        <v>○</v>
      </c>
      <c r="O20" s="254">
        <f>IF('時間表'!D6="","",'時間表'!D6)</f>
        <v>5</v>
      </c>
      <c r="P20" s="254"/>
      <c r="Q20" s="34"/>
      <c r="R20" s="254">
        <f>IF('時間表'!F6="","",'時間表'!F6)</f>
        <v>1</v>
      </c>
      <c r="S20" s="254"/>
      <c r="T20" s="261" t="str">
        <f>IF(U20="","",IF(U20&gt;X20,"○",IF(U20&lt;X20,"●","△")))</f>
        <v>○</v>
      </c>
      <c r="U20" s="254">
        <f>IF('時間表'!D8="","",'時間表'!D8)</f>
        <v>4</v>
      </c>
      <c r="V20" s="254"/>
      <c r="W20" s="34"/>
      <c r="X20" s="254">
        <f>IF('時間表'!F8="","",'時間表'!F8)</f>
        <v>0</v>
      </c>
      <c r="Y20" s="254"/>
      <c r="Z20" s="321">
        <f>IF('時間表'!D6="","",COUNTIF($H20:$Y21,"○"))</f>
        <v>2</v>
      </c>
      <c r="AA20" s="322"/>
      <c r="AB20" s="321">
        <f>IF('時間表'!D6="","",COUNTIF($H20:$Y21,"△"))</f>
        <v>0</v>
      </c>
      <c r="AC20" s="322"/>
      <c r="AD20" s="321">
        <f>IF('時間表'!D6="","",COUNTIF($H20:$Y21,"●"))</f>
        <v>0</v>
      </c>
      <c r="AE20" s="322"/>
      <c r="AF20" s="311">
        <f>_xlfn.IFERROR(Z20*3+AB20,"")</f>
        <v>6</v>
      </c>
      <c r="AG20" s="311"/>
      <c r="AH20" s="325">
        <f>_xlfn.IFERROR(O20+U20,"")</f>
        <v>9</v>
      </c>
      <c r="AI20" s="326"/>
      <c r="AJ20" s="311">
        <f>_xlfn.IFERROR(R20+X20,"")</f>
        <v>1</v>
      </c>
      <c r="AK20" s="311"/>
      <c r="AL20" s="329">
        <f>_xlfn.IFERROR(AH20-AJ20,"")</f>
        <v>8</v>
      </c>
      <c r="AM20" s="330"/>
      <c r="AN20" s="311">
        <f>IF('時間表'!D6="","",RANK(AV20,$AV$20:$AV$25,1))</f>
        <v>1</v>
      </c>
      <c r="AO20" s="311"/>
      <c r="AP20" s="311">
        <f>_xlfn.IFERROR(BA17,"")</f>
        <v>2</v>
      </c>
      <c r="AQ20" s="311"/>
      <c r="AR20" s="250">
        <f>_xlfn.IFERROR(100*RANK(AF20,AF20:AG25,0),"")</f>
        <v>100</v>
      </c>
      <c r="AS20" s="250">
        <f>_xlfn.IFERROR(10*RANK(AL20,AL20:AM25,0),"")</f>
        <v>10</v>
      </c>
      <c r="AT20" s="250">
        <f>_xlfn.IFERROR(RANK(AH20,AH20:AI25,0),"")</f>
        <v>1</v>
      </c>
      <c r="AU20" s="45"/>
      <c r="AV20" s="250">
        <f>_xlfn.IFERROR(SUM(AR20:AT21),"")</f>
        <v>111</v>
      </c>
      <c r="AW20" s="19"/>
      <c r="AX20" s="19"/>
      <c r="AY20" s="19"/>
      <c r="AZ20" s="19"/>
      <c r="BA20" s="278"/>
      <c r="BB20" s="278"/>
      <c r="BC20" s="278"/>
      <c r="BD20" s="278"/>
      <c r="BE20" s="278"/>
      <c r="BF20" s="278"/>
      <c r="BG20" s="39"/>
      <c r="BH20" s="39"/>
      <c r="BI20" s="39"/>
      <c r="BJ20" s="39"/>
      <c r="BK20" s="375"/>
      <c r="BL20" s="375"/>
      <c r="BM20" s="375"/>
      <c r="BN20" s="375"/>
      <c r="BO20" s="376"/>
      <c r="BP20" s="376"/>
      <c r="BQ20" s="375"/>
      <c r="BR20" s="375"/>
      <c r="BS20" s="375"/>
      <c r="BT20" s="375"/>
      <c r="BU20" s="377"/>
      <c r="BV20" s="377"/>
    </row>
    <row r="21" spans="1:74" ht="9" customHeight="1">
      <c r="A21" s="263"/>
      <c r="B21" s="264"/>
      <c r="C21" s="265"/>
      <c r="D21" s="265"/>
      <c r="E21" s="265"/>
      <c r="F21" s="265"/>
      <c r="G21" s="266"/>
      <c r="H21" s="275"/>
      <c r="I21" s="275"/>
      <c r="J21" s="275"/>
      <c r="K21" s="275"/>
      <c r="L21" s="275"/>
      <c r="M21" s="276"/>
      <c r="N21" s="262"/>
      <c r="O21" s="255"/>
      <c r="P21" s="255"/>
      <c r="Q21" s="35"/>
      <c r="R21" s="255"/>
      <c r="S21" s="255"/>
      <c r="T21" s="262"/>
      <c r="U21" s="255"/>
      <c r="V21" s="255"/>
      <c r="W21" s="35"/>
      <c r="X21" s="255"/>
      <c r="Y21" s="255"/>
      <c r="Z21" s="323"/>
      <c r="AA21" s="324"/>
      <c r="AB21" s="323"/>
      <c r="AC21" s="324"/>
      <c r="AD21" s="323"/>
      <c r="AE21" s="324"/>
      <c r="AF21" s="311"/>
      <c r="AG21" s="311"/>
      <c r="AH21" s="327"/>
      <c r="AI21" s="328"/>
      <c r="AJ21" s="311"/>
      <c r="AK21" s="311"/>
      <c r="AL21" s="329"/>
      <c r="AM21" s="330"/>
      <c r="AN21" s="311"/>
      <c r="AO21" s="311"/>
      <c r="AP21" s="311"/>
      <c r="AQ21" s="311"/>
      <c r="AR21" s="250"/>
      <c r="AS21" s="250"/>
      <c r="AT21" s="250"/>
      <c r="AU21" s="45"/>
      <c r="AV21" s="250"/>
      <c r="AW21" s="19"/>
      <c r="AX21" s="19"/>
      <c r="AY21" s="19"/>
      <c r="AZ21" s="19"/>
      <c r="BA21" s="278">
        <f>VLOOKUP(BB21,BU11:BV22,2,0)</f>
        <v>3</v>
      </c>
      <c r="BB21" s="278" t="str">
        <f>B24</f>
        <v>矢　倉</v>
      </c>
      <c r="BC21" s="278"/>
      <c r="BD21" s="278"/>
      <c r="BE21" s="278"/>
      <c r="BF21" s="278"/>
      <c r="BG21" s="39"/>
      <c r="BH21" s="39"/>
      <c r="BI21" s="39"/>
      <c r="BJ21" s="39"/>
      <c r="BK21" s="375" t="str">
        <f>AI30</f>
        <v>白　鷺</v>
      </c>
      <c r="BL21" s="375"/>
      <c r="BM21" s="375"/>
      <c r="BN21" s="375"/>
      <c r="BO21" s="376" t="str">
        <f>IF(AN27&gt;AN30,"6",IF(AN27&lt;AN30,"5","0"))</f>
        <v>0</v>
      </c>
      <c r="BP21" s="376"/>
      <c r="BQ21" s="375" t="str">
        <f>IF(AP27&gt;AP30,"6",IF(AP27&lt;AP30,"5","0"))</f>
        <v>5</v>
      </c>
      <c r="BR21" s="375"/>
      <c r="BS21" s="375">
        <f>BO21+BQ21</f>
        <v>5</v>
      </c>
      <c r="BT21" s="375"/>
      <c r="BU21" s="377" t="str">
        <f>BK21</f>
        <v>白　鷺</v>
      </c>
      <c r="BV21" s="377">
        <f>BS21</f>
        <v>5</v>
      </c>
    </row>
    <row r="22" spans="1:74" ht="9" customHeight="1">
      <c r="A22" s="263">
        <f>AN22</f>
        <v>3</v>
      </c>
      <c r="B22" s="340" t="str">
        <f>'時間表'!Q9</f>
        <v>白　鷺</v>
      </c>
      <c r="C22" s="265"/>
      <c r="D22" s="265"/>
      <c r="E22" s="265"/>
      <c r="F22" s="265"/>
      <c r="G22" s="266"/>
      <c r="H22" s="261" t="str">
        <f>IF(I22="","",IF(I22&gt;L22,"○",IF(I22&lt;L22,"●","△")))</f>
        <v>●</v>
      </c>
      <c r="I22" s="254">
        <f>R20</f>
        <v>1</v>
      </c>
      <c r="J22" s="254"/>
      <c r="K22" s="34"/>
      <c r="L22" s="254">
        <f>O20</f>
        <v>5</v>
      </c>
      <c r="M22" s="281"/>
      <c r="N22" s="251"/>
      <c r="O22" s="252"/>
      <c r="P22" s="252"/>
      <c r="Q22" s="252"/>
      <c r="R22" s="252"/>
      <c r="S22" s="252"/>
      <c r="T22" s="261" t="str">
        <f>IF(U22="","",IF(U22&gt;X22,"○",IF(U22&lt;X22,"●","△")))</f>
        <v>●</v>
      </c>
      <c r="U22" s="254">
        <f>IF('時間表'!D10="","",'時間表'!D10)</f>
        <v>1</v>
      </c>
      <c r="V22" s="254"/>
      <c r="W22" s="34"/>
      <c r="X22" s="254">
        <f>IF('時間表'!F10="","",'時間表'!F10)</f>
        <v>2</v>
      </c>
      <c r="Y22" s="254"/>
      <c r="Z22" s="321">
        <f>IF('時間表'!F6="","",COUNTIF($H22:$Y23,"○"))</f>
        <v>0</v>
      </c>
      <c r="AA22" s="322"/>
      <c r="AB22" s="321">
        <f>IF('時間表'!F6="","",COUNTIF($H22:$Y23,"△"))</f>
        <v>0</v>
      </c>
      <c r="AC22" s="322"/>
      <c r="AD22" s="321">
        <f>IF('時間表'!F6="","",COUNTIF($H22:$Y23,"●"))</f>
        <v>2</v>
      </c>
      <c r="AE22" s="322"/>
      <c r="AF22" s="311">
        <f>_xlfn.IFERROR(Z22*3+AB22,"")</f>
        <v>0</v>
      </c>
      <c r="AG22" s="311"/>
      <c r="AH22" s="325">
        <f>_xlfn.IFERROR(I22+U22,"")</f>
        <v>2</v>
      </c>
      <c r="AI22" s="326"/>
      <c r="AJ22" s="311">
        <f>_xlfn.IFERROR(L22+X22,"")</f>
        <v>7</v>
      </c>
      <c r="AK22" s="311"/>
      <c r="AL22" s="329">
        <f>_xlfn.IFERROR(AH22-AJ22,"")</f>
        <v>-5</v>
      </c>
      <c r="AM22" s="330"/>
      <c r="AN22" s="311">
        <f>IF('時間表'!F6="","",RANK(AV22,$AV$20:$AV$25,1))</f>
        <v>3</v>
      </c>
      <c r="AO22" s="311"/>
      <c r="AP22" s="311">
        <f>_xlfn.IFERROR(BA19,"")</f>
        <v>5</v>
      </c>
      <c r="AQ22" s="311"/>
      <c r="AR22" s="250">
        <f>_xlfn.IFERROR(100*RANK(AF22,AF20:AG25,0),"")</f>
        <v>300</v>
      </c>
      <c r="AS22" s="250">
        <f>_xlfn.IFERROR(10*RANK(AL22,AL20:AM25,0),"")</f>
        <v>30</v>
      </c>
      <c r="AT22" s="250">
        <f>_xlfn.IFERROR(RANK(AH22,AH20:AI25,0),"")</f>
        <v>2</v>
      </c>
      <c r="AU22" s="45"/>
      <c r="AV22" s="250">
        <f>_xlfn.IFERROR(SUM(AR22:AT23),"")</f>
        <v>332</v>
      </c>
      <c r="AW22" s="19"/>
      <c r="AX22" s="19"/>
      <c r="AY22" s="19"/>
      <c r="AZ22" s="19"/>
      <c r="BA22" s="278"/>
      <c r="BB22" s="278"/>
      <c r="BC22" s="278"/>
      <c r="BD22" s="278"/>
      <c r="BE22" s="278"/>
      <c r="BF22" s="278"/>
      <c r="BG22" s="39"/>
      <c r="BH22" s="39"/>
      <c r="BI22" s="39"/>
      <c r="BJ22" s="39"/>
      <c r="BK22" s="375"/>
      <c r="BL22" s="375"/>
      <c r="BM22" s="375"/>
      <c r="BN22" s="375"/>
      <c r="BO22" s="376"/>
      <c r="BP22" s="376"/>
      <c r="BQ22" s="375"/>
      <c r="BR22" s="375"/>
      <c r="BS22" s="375"/>
      <c r="BT22" s="375"/>
      <c r="BU22" s="377"/>
      <c r="BV22" s="377"/>
    </row>
    <row r="23" spans="1:64" ht="9" customHeight="1">
      <c r="A23" s="263"/>
      <c r="B23" s="340"/>
      <c r="C23" s="265"/>
      <c r="D23" s="265"/>
      <c r="E23" s="265"/>
      <c r="F23" s="265"/>
      <c r="G23" s="266"/>
      <c r="H23" s="262"/>
      <c r="I23" s="255"/>
      <c r="J23" s="255"/>
      <c r="K23" s="35"/>
      <c r="L23" s="255"/>
      <c r="M23" s="282"/>
      <c r="N23" s="251"/>
      <c r="O23" s="252"/>
      <c r="P23" s="252"/>
      <c r="Q23" s="252"/>
      <c r="R23" s="252"/>
      <c r="S23" s="252"/>
      <c r="T23" s="262"/>
      <c r="U23" s="255"/>
      <c r="V23" s="255"/>
      <c r="W23" s="35"/>
      <c r="X23" s="255"/>
      <c r="Y23" s="255"/>
      <c r="Z23" s="323"/>
      <c r="AA23" s="324"/>
      <c r="AB23" s="323"/>
      <c r="AC23" s="324"/>
      <c r="AD23" s="323"/>
      <c r="AE23" s="324"/>
      <c r="AF23" s="311"/>
      <c r="AG23" s="311"/>
      <c r="AH23" s="327"/>
      <c r="AI23" s="328"/>
      <c r="AJ23" s="311"/>
      <c r="AK23" s="311"/>
      <c r="AL23" s="329"/>
      <c r="AM23" s="330"/>
      <c r="AN23" s="311"/>
      <c r="AO23" s="311"/>
      <c r="AP23" s="311"/>
      <c r="AQ23" s="311"/>
      <c r="AR23" s="250"/>
      <c r="AS23" s="250"/>
      <c r="AT23" s="250"/>
      <c r="AU23" s="45"/>
      <c r="AV23" s="250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9" customHeight="1" thickBot="1">
      <c r="A24" s="263">
        <f>AN24</f>
        <v>2</v>
      </c>
      <c r="B24" s="340" t="str">
        <f>'時間表'!Q10</f>
        <v>矢　倉</v>
      </c>
      <c r="C24" s="254"/>
      <c r="D24" s="254"/>
      <c r="E24" s="265"/>
      <c r="F24" s="265"/>
      <c r="G24" s="266"/>
      <c r="H24" s="261" t="str">
        <f>IF(I24="","",IF(I24&gt;L24,"○",IF(I24&lt;L24,"●","△")))</f>
        <v>●</v>
      </c>
      <c r="I24" s="254">
        <f>X20</f>
        <v>0</v>
      </c>
      <c r="J24" s="254"/>
      <c r="K24" s="34"/>
      <c r="L24" s="254">
        <f>U20</f>
        <v>4</v>
      </c>
      <c r="M24" s="281"/>
      <c r="N24" s="261" t="str">
        <f>IF(O24="","",IF(O24&gt;R24,"○",IF(O24&lt;R24,"●","△")))</f>
        <v>○</v>
      </c>
      <c r="O24" s="254">
        <f>X22</f>
        <v>2</v>
      </c>
      <c r="P24" s="254"/>
      <c r="Q24" s="34"/>
      <c r="R24" s="254">
        <f>U22</f>
        <v>1</v>
      </c>
      <c r="S24" s="281"/>
      <c r="T24" s="342"/>
      <c r="U24" s="343"/>
      <c r="V24" s="343"/>
      <c r="W24" s="343"/>
      <c r="X24" s="343"/>
      <c r="Y24" s="344"/>
      <c r="Z24" s="321">
        <f>IF('時間表'!F8="","",COUNTIF($H24:$Y25,"○"))</f>
        <v>1</v>
      </c>
      <c r="AA24" s="322"/>
      <c r="AB24" s="321">
        <f>IF('時間表'!F8="","",COUNTIF($H24:$Y25,"△"))</f>
        <v>0</v>
      </c>
      <c r="AC24" s="322"/>
      <c r="AD24" s="321">
        <f>IF('時間表'!F8="","",COUNTIF($H24:$Y25,"●"))</f>
        <v>1</v>
      </c>
      <c r="AE24" s="322"/>
      <c r="AF24" s="311">
        <f>_xlfn.IFERROR(Z24*3+AB24,"")</f>
        <v>3</v>
      </c>
      <c r="AG24" s="311"/>
      <c r="AH24" s="325">
        <f>_xlfn.IFERROR(O24+I24,"")</f>
        <v>2</v>
      </c>
      <c r="AI24" s="326"/>
      <c r="AJ24" s="311">
        <f>_xlfn.IFERROR(R24+L24,"")</f>
        <v>5</v>
      </c>
      <c r="AK24" s="311"/>
      <c r="AL24" s="329">
        <f>_xlfn.IFERROR(AH24-AJ24,"")</f>
        <v>-3</v>
      </c>
      <c r="AM24" s="330"/>
      <c r="AN24" s="311">
        <f>IF('時間表'!F8="","",RANK(AV24,$AV$20:$AV$25,1))</f>
        <v>2</v>
      </c>
      <c r="AO24" s="311"/>
      <c r="AP24" s="311">
        <f>_xlfn.IFERROR(BA21,"")</f>
        <v>3</v>
      </c>
      <c r="AQ24" s="311"/>
      <c r="AR24" s="250">
        <f>_xlfn.IFERROR(100*RANK(AF24,AF20:AG25,0),"")</f>
        <v>200</v>
      </c>
      <c r="AS24" s="250">
        <f>_xlfn.IFERROR(10*RANK(AL24,AL20:AM25,0),"")</f>
        <v>20</v>
      </c>
      <c r="AT24" s="250">
        <f>_xlfn.IFERROR(RANK(AH24,AH20:AI25,0),"")</f>
        <v>2</v>
      </c>
      <c r="AU24" s="45"/>
      <c r="AV24" s="250">
        <f>_xlfn.IFERROR(SUM(AR24:AT25),"")</f>
        <v>222</v>
      </c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9" customHeight="1">
      <c r="A25" s="263"/>
      <c r="B25" s="264"/>
      <c r="C25" s="341"/>
      <c r="D25" s="341"/>
      <c r="E25" s="265"/>
      <c r="F25" s="265"/>
      <c r="G25" s="266"/>
      <c r="H25" s="262"/>
      <c r="I25" s="255"/>
      <c r="J25" s="255"/>
      <c r="K25" s="35"/>
      <c r="L25" s="341"/>
      <c r="M25" s="282"/>
      <c r="N25" s="262"/>
      <c r="O25" s="255"/>
      <c r="P25" s="255"/>
      <c r="Q25" s="35"/>
      <c r="R25" s="255"/>
      <c r="S25" s="282"/>
      <c r="T25" s="342"/>
      <c r="U25" s="343"/>
      <c r="V25" s="343"/>
      <c r="W25" s="343"/>
      <c r="X25" s="343"/>
      <c r="Y25" s="344"/>
      <c r="Z25" s="323"/>
      <c r="AA25" s="324"/>
      <c r="AB25" s="323"/>
      <c r="AC25" s="324"/>
      <c r="AD25" s="323"/>
      <c r="AE25" s="324"/>
      <c r="AF25" s="311"/>
      <c r="AG25" s="311"/>
      <c r="AH25" s="327"/>
      <c r="AI25" s="328"/>
      <c r="AJ25" s="311"/>
      <c r="AK25" s="311"/>
      <c r="AL25" s="329"/>
      <c r="AM25" s="330"/>
      <c r="AN25" s="311"/>
      <c r="AO25" s="311"/>
      <c r="AP25" s="311"/>
      <c r="AQ25" s="311"/>
      <c r="AR25" s="250"/>
      <c r="AS25" s="250"/>
      <c r="AT25" s="250"/>
      <c r="AU25" s="45"/>
      <c r="AV25" s="250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9" customHeight="1">
      <c r="A26" s="26"/>
      <c r="B26" s="22"/>
      <c r="C26" s="22"/>
      <c r="D26" s="22"/>
      <c r="E26" s="228"/>
      <c r="F26" s="228"/>
      <c r="G26" s="228"/>
      <c r="H26" s="23"/>
      <c r="I26" s="228"/>
      <c r="J26" s="23"/>
      <c r="K26" s="23"/>
      <c r="L26" s="228"/>
      <c r="M26" s="22"/>
      <c r="N26" s="23"/>
      <c r="O26" s="22"/>
      <c r="P26" s="22"/>
      <c r="Q26" s="23"/>
      <c r="R26" s="22"/>
      <c r="S26" s="22"/>
      <c r="T26" s="22"/>
      <c r="U26" s="22"/>
      <c r="V26" s="22"/>
      <c r="W26" s="22"/>
      <c r="X26" s="22"/>
      <c r="Y26" s="22"/>
      <c r="Z26" s="27"/>
      <c r="AA26" s="27"/>
      <c r="AB26" s="125"/>
      <c r="AC26" s="125"/>
      <c r="AD26" s="27"/>
      <c r="AE26" s="27"/>
      <c r="AF26" s="22"/>
      <c r="AG26" s="22"/>
      <c r="AH26" s="28"/>
      <c r="AI26" s="28"/>
      <c r="AJ26" s="22"/>
      <c r="AK26" s="22"/>
      <c r="AL26" s="28"/>
      <c r="AM26" s="28"/>
      <c r="AN26" s="29"/>
      <c r="AO26" s="29"/>
      <c r="AP26" s="19"/>
      <c r="AQ26" s="19"/>
      <c r="AR26" s="27"/>
      <c r="AS26" s="27"/>
      <c r="AT26" s="27"/>
      <c r="AU26" s="27"/>
      <c r="AV26" s="27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9" customHeight="1" thickBot="1">
      <c r="A27" s="26"/>
      <c r="B27" s="301" t="s">
        <v>81</v>
      </c>
      <c r="C27" s="301"/>
      <c r="D27" s="301"/>
      <c r="E27" s="301"/>
      <c r="F27" s="319">
        <v>1</v>
      </c>
      <c r="G27" s="295" t="str">
        <f>IF('時間表'!F9="","",VLOOKUP(F27,AⅠ,2,0))</f>
        <v>奈良YMCA</v>
      </c>
      <c r="H27" s="295"/>
      <c r="I27" s="295"/>
      <c r="J27" s="295"/>
      <c r="K27" s="295"/>
      <c r="L27" s="299">
        <f>IF('時間表'!D15="","",'時間表'!D15)</f>
        <v>3</v>
      </c>
      <c r="M27" s="299"/>
      <c r="N27" s="302">
        <f>IF('時間表'!D16="","",'時間表'!D16)</f>
      </c>
      <c r="O27" s="303"/>
      <c r="P27" s="300" t="s">
        <v>84</v>
      </c>
      <c r="Q27" s="301"/>
      <c r="R27" s="301"/>
      <c r="S27" s="301"/>
      <c r="T27" s="319">
        <v>2</v>
      </c>
      <c r="U27" s="295" t="str">
        <f>_xlfn.IFERROR(VLOOKUP(T27,AⅠ,2,0),"")</f>
        <v>石　津</v>
      </c>
      <c r="V27" s="295"/>
      <c r="W27" s="295"/>
      <c r="X27" s="295"/>
      <c r="Y27" s="295"/>
      <c r="Z27" s="299">
        <f>IF('時間表'!D13="","",'時間表'!D13)</f>
        <v>0</v>
      </c>
      <c r="AA27" s="299"/>
      <c r="AB27" s="302">
        <f>IF('時間表'!D14="","",'時間表'!D14)</f>
      </c>
      <c r="AC27" s="303"/>
      <c r="AD27" s="300" t="s">
        <v>86</v>
      </c>
      <c r="AE27" s="301"/>
      <c r="AF27" s="301"/>
      <c r="AG27" s="301"/>
      <c r="AH27" s="319">
        <v>3</v>
      </c>
      <c r="AI27" s="297" t="str">
        <f>_xlfn.IFERROR(VLOOKUP(AH27,AⅠ,2,0),"")</f>
        <v>下　田</v>
      </c>
      <c r="AJ27" s="297"/>
      <c r="AK27" s="297"/>
      <c r="AL27" s="297"/>
      <c r="AM27" s="297"/>
      <c r="AN27" s="299">
        <f>IF('時間表'!D11="","",'時間表'!D11)</f>
        <v>1</v>
      </c>
      <c r="AO27" s="299"/>
      <c r="AP27" s="302">
        <f>IF('時間表'!D12="","",'時間表'!D12)</f>
        <v>3</v>
      </c>
      <c r="AQ27" s="303"/>
      <c r="AR27" s="19"/>
      <c r="AS27" s="143"/>
      <c r="AT27" s="143"/>
      <c r="AU27" s="143"/>
      <c r="AV27" s="143"/>
      <c r="AW27" s="144"/>
      <c r="AX27" s="144"/>
      <c r="AY27" s="144"/>
      <c r="AZ27" s="144"/>
      <c r="BA27" s="144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9" customHeight="1" thickBot="1" thickTop="1">
      <c r="A28" s="26"/>
      <c r="B28" s="301"/>
      <c r="C28" s="301"/>
      <c r="D28" s="301"/>
      <c r="E28" s="363"/>
      <c r="F28" s="364"/>
      <c r="G28" s="365"/>
      <c r="H28" s="366"/>
      <c r="I28" s="367"/>
      <c r="J28" s="368"/>
      <c r="K28" s="368"/>
      <c r="L28" s="362"/>
      <c r="M28" s="299"/>
      <c r="N28" s="304"/>
      <c r="O28" s="305"/>
      <c r="P28" s="300"/>
      <c r="Q28" s="301"/>
      <c r="R28" s="301"/>
      <c r="S28" s="301"/>
      <c r="T28" s="320"/>
      <c r="U28" s="296"/>
      <c r="V28" s="296"/>
      <c r="W28" s="296"/>
      <c r="X28" s="296"/>
      <c r="Y28" s="296"/>
      <c r="Z28" s="299"/>
      <c r="AA28" s="299"/>
      <c r="AB28" s="304"/>
      <c r="AC28" s="305"/>
      <c r="AD28" s="300"/>
      <c r="AE28" s="301"/>
      <c r="AF28" s="301"/>
      <c r="AG28" s="301"/>
      <c r="AH28" s="320"/>
      <c r="AI28" s="298"/>
      <c r="AJ28" s="298"/>
      <c r="AK28" s="298"/>
      <c r="AL28" s="298"/>
      <c r="AM28" s="298"/>
      <c r="AN28" s="299"/>
      <c r="AO28" s="299"/>
      <c r="AP28" s="304"/>
      <c r="AQ28" s="305"/>
      <c r="AR28" s="19"/>
      <c r="AS28" s="143"/>
      <c r="AT28" s="143"/>
      <c r="AU28" s="143"/>
      <c r="AV28" s="143"/>
      <c r="AW28" s="144"/>
      <c r="AX28" s="144"/>
      <c r="AY28" s="144"/>
      <c r="AZ28" s="144"/>
      <c r="BA28" s="144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9" customHeight="1">
      <c r="A29" s="26"/>
      <c r="B29" s="119"/>
      <c r="C29" s="117"/>
      <c r="D29" s="46"/>
      <c r="E29" s="39"/>
      <c r="F29" s="39"/>
      <c r="G29" s="39"/>
      <c r="H29" s="40"/>
      <c r="I29" s="39"/>
      <c r="J29" s="41"/>
      <c r="K29" s="37"/>
      <c r="L29" s="39"/>
      <c r="M29" s="124"/>
      <c r="N29" s="349" t="s">
        <v>123</v>
      </c>
      <c r="O29" s="349"/>
      <c r="P29" s="61"/>
      <c r="Q29" s="61"/>
      <c r="R29" s="61"/>
      <c r="S29" s="64"/>
      <c r="T29" s="39"/>
      <c r="U29" s="39"/>
      <c r="V29" s="39"/>
      <c r="W29" s="39"/>
      <c r="X29" s="41"/>
      <c r="Y29" s="37"/>
      <c r="Z29" s="39"/>
      <c r="AA29" s="124"/>
      <c r="AB29" s="348" t="s">
        <v>123</v>
      </c>
      <c r="AC29" s="348"/>
      <c r="AD29" s="118"/>
      <c r="AE29" s="117"/>
      <c r="AF29" s="46"/>
      <c r="AG29" s="39"/>
      <c r="AH29" s="39"/>
      <c r="AI29" s="39"/>
      <c r="AJ29" s="39"/>
      <c r="AK29" s="39"/>
      <c r="AL29" s="41"/>
      <c r="AM29" s="37"/>
      <c r="AN29" s="126"/>
      <c r="AO29" s="37"/>
      <c r="AP29" s="347" t="s">
        <v>123</v>
      </c>
      <c r="AQ29" s="348"/>
      <c r="AR29" s="116"/>
      <c r="AS29" s="143"/>
      <c r="AT29" s="143"/>
      <c r="AU29" s="143"/>
      <c r="AV29" s="143"/>
      <c r="AW29" s="144"/>
      <c r="AX29" s="144"/>
      <c r="AY29" s="144"/>
      <c r="AZ29" s="144"/>
      <c r="BA29" s="144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9" customHeight="1">
      <c r="A30" s="26"/>
      <c r="B30" s="301" t="s">
        <v>82</v>
      </c>
      <c r="C30" s="301"/>
      <c r="D30" s="301"/>
      <c r="E30" s="301"/>
      <c r="F30" s="319">
        <v>1</v>
      </c>
      <c r="G30" s="295" t="str">
        <f>IF('時間表'!F10="","",VLOOKUP(F30,AⅡ,2,0))</f>
        <v>三　笠</v>
      </c>
      <c r="H30" s="295"/>
      <c r="I30" s="295"/>
      <c r="J30" s="295"/>
      <c r="K30" s="295"/>
      <c r="L30" s="299">
        <f>IF('時間表'!F15="","",'時間表'!F15)</f>
        <v>0</v>
      </c>
      <c r="M30" s="299"/>
      <c r="N30" s="302">
        <f>IF('時間表'!F16="","",'時間表'!F16)</f>
      </c>
      <c r="O30" s="303"/>
      <c r="P30" s="300" t="s">
        <v>85</v>
      </c>
      <c r="Q30" s="301"/>
      <c r="R30" s="301"/>
      <c r="S30" s="301"/>
      <c r="T30" s="319">
        <v>2</v>
      </c>
      <c r="U30" s="297" t="str">
        <f>_xlfn.IFERROR(VLOOKUP(T30,AⅡ,2,0),"")</f>
        <v>矢　倉</v>
      </c>
      <c r="V30" s="297"/>
      <c r="W30" s="297"/>
      <c r="X30" s="297"/>
      <c r="Y30" s="297"/>
      <c r="Z30" s="299">
        <f>IF('時間表'!F13="","",'時間表'!F13)</f>
        <v>1</v>
      </c>
      <c r="AA30" s="299"/>
      <c r="AB30" s="302">
        <f>IF('時間表'!F14="","",'時間表'!F14)</f>
      </c>
      <c r="AC30" s="303"/>
      <c r="AD30" s="300" t="s">
        <v>87</v>
      </c>
      <c r="AE30" s="301"/>
      <c r="AF30" s="301"/>
      <c r="AG30" s="301"/>
      <c r="AH30" s="319">
        <v>3</v>
      </c>
      <c r="AI30" s="297" t="str">
        <f>_xlfn.IFERROR(VLOOKUP(AH30,AⅡ,2,0),"")</f>
        <v>白　鷺</v>
      </c>
      <c r="AJ30" s="297"/>
      <c r="AK30" s="297"/>
      <c r="AL30" s="297"/>
      <c r="AM30" s="297"/>
      <c r="AN30" s="299">
        <f>IF('時間表'!F11="","",'時間表'!F11)</f>
        <v>1</v>
      </c>
      <c r="AO30" s="299"/>
      <c r="AP30" s="302">
        <f>IF('時間表'!F12="","",'時間表'!F12)</f>
        <v>4</v>
      </c>
      <c r="AQ30" s="303"/>
      <c r="AR30" s="30"/>
      <c r="AS30" s="140"/>
      <c r="AT30" s="139"/>
      <c r="AU30" s="139"/>
      <c r="AV30" s="140"/>
      <c r="AW30" s="141"/>
      <c r="AX30" s="141"/>
      <c r="AY30" s="141"/>
      <c r="AZ30" s="141"/>
      <c r="BA30" s="141"/>
      <c r="BB30" s="33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9" customHeight="1" thickBot="1">
      <c r="A31" s="26"/>
      <c r="B31" s="301"/>
      <c r="C31" s="301"/>
      <c r="D31" s="301"/>
      <c r="E31" s="301"/>
      <c r="F31" s="320"/>
      <c r="G31" s="296"/>
      <c r="H31" s="296"/>
      <c r="I31" s="296"/>
      <c r="J31" s="296"/>
      <c r="K31" s="296"/>
      <c r="L31" s="299"/>
      <c r="M31" s="299"/>
      <c r="N31" s="304"/>
      <c r="O31" s="305"/>
      <c r="P31" s="300"/>
      <c r="Q31" s="301"/>
      <c r="R31" s="301"/>
      <c r="S31" s="301"/>
      <c r="T31" s="320"/>
      <c r="U31" s="298"/>
      <c r="V31" s="298"/>
      <c r="W31" s="298"/>
      <c r="X31" s="298"/>
      <c r="Y31" s="298"/>
      <c r="Z31" s="299"/>
      <c r="AA31" s="299"/>
      <c r="AB31" s="304"/>
      <c r="AC31" s="305"/>
      <c r="AD31" s="300"/>
      <c r="AE31" s="301"/>
      <c r="AF31" s="301"/>
      <c r="AG31" s="301"/>
      <c r="AH31" s="320"/>
      <c r="AI31" s="298"/>
      <c r="AJ31" s="298"/>
      <c r="AK31" s="298"/>
      <c r="AL31" s="298"/>
      <c r="AM31" s="298"/>
      <c r="AN31" s="299"/>
      <c r="AO31" s="299"/>
      <c r="AP31" s="304"/>
      <c r="AQ31" s="305"/>
      <c r="AR31" s="30"/>
      <c r="AS31" s="140"/>
      <c r="AT31" s="139"/>
      <c r="AU31" s="139"/>
      <c r="AV31" s="140"/>
      <c r="AW31" s="141"/>
      <c r="AX31" s="141"/>
      <c r="AY31" s="141"/>
      <c r="AZ31" s="141"/>
      <c r="BA31" s="141"/>
      <c r="BB31" s="33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72" ht="9" customHeight="1">
      <c r="A32" s="6"/>
      <c r="B32" s="7"/>
      <c r="C32" s="11"/>
      <c r="D32" s="11"/>
      <c r="E32" s="11"/>
      <c r="F32" s="11"/>
      <c r="G32" s="10"/>
      <c r="H32" s="9"/>
      <c r="I32" s="9"/>
      <c r="J32" s="9"/>
      <c r="K32" s="9"/>
      <c r="L32" s="9"/>
      <c r="M32" s="9"/>
      <c r="N32" s="16"/>
      <c r="O32" s="17"/>
      <c r="P32" s="17"/>
      <c r="Q32" s="17"/>
      <c r="R32" s="17"/>
      <c r="S32" s="17"/>
      <c r="T32" s="10"/>
      <c r="U32" s="9"/>
      <c r="V32" s="9"/>
      <c r="W32" s="9"/>
      <c r="X32" s="9"/>
      <c r="Y32" s="9"/>
      <c r="Z32" s="9"/>
      <c r="AA32" s="16"/>
      <c r="AB32" s="16"/>
      <c r="AC32" s="17"/>
      <c r="AD32" s="17"/>
      <c r="AE32" s="17"/>
      <c r="AF32" s="17"/>
      <c r="AG32" s="17"/>
      <c r="AH32" s="10"/>
      <c r="AI32" s="9"/>
      <c r="AJ32" s="9"/>
      <c r="AK32" s="9"/>
      <c r="AL32" s="9"/>
      <c r="AM32" s="9"/>
      <c r="AN32" s="9"/>
      <c r="AO32" s="9"/>
      <c r="AP32" s="63"/>
      <c r="AQ32" s="63"/>
      <c r="AR32" s="12"/>
      <c r="AS32" s="142"/>
      <c r="AT32" s="142"/>
      <c r="AU32" s="142"/>
      <c r="AV32" s="142"/>
      <c r="AW32" s="145"/>
      <c r="AX32" s="145"/>
      <c r="AY32" s="145"/>
      <c r="AZ32" s="145"/>
      <c r="BA32" s="145"/>
      <c r="BB32" s="11"/>
      <c r="BC32" s="11"/>
      <c r="BD32" s="13"/>
      <c r="BE32" s="14"/>
      <c r="BF32" s="15"/>
      <c r="BG32" s="15"/>
      <c r="BH32" s="15"/>
      <c r="BI32" s="15"/>
      <c r="BJ32" s="15"/>
      <c r="BK32" s="15"/>
      <c r="BL32" s="15"/>
      <c r="BM32" s="10"/>
      <c r="BN32" s="9"/>
      <c r="BO32" s="9"/>
      <c r="BP32" s="9"/>
      <c r="BQ32" s="8"/>
      <c r="BR32" s="7"/>
      <c r="BS32" s="9"/>
      <c r="BT32" s="12"/>
    </row>
    <row r="33" spans="1:72" ht="9" customHeight="1">
      <c r="A33" s="6"/>
      <c r="B33" s="7"/>
      <c r="C33" s="11"/>
      <c r="D33" s="11"/>
      <c r="E33" s="11"/>
      <c r="F33" s="11"/>
      <c r="G33" s="10"/>
      <c r="H33" s="9"/>
      <c r="I33" s="9"/>
      <c r="J33" s="9"/>
      <c r="K33" s="9"/>
      <c r="L33" s="9"/>
      <c r="M33" s="9"/>
      <c r="N33" s="224"/>
      <c r="O33" s="225"/>
      <c r="P33" s="17"/>
      <c r="Q33" s="17"/>
      <c r="R33" s="17"/>
      <c r="S33" s="17"/>
      <c r="T33" s="10"/>
      <c r="U33" s="9"/>
      <c r="V33" s="9"/>
      <c r="W33" s="9"/>
      <c r="X33" s="9"/>
      <c r="Y33" s="9"/>
      <c r="Z33" s="9"/>
      <c r="AA33" s="16"/>
      <c r="AB33" s="16"/>
      <c r="AC33" s="17"/>
      <c r="AD33" s="17"/>
      <c r="AE33" s="17"/>
      <c r="AF33" s="17"/>
      <c r="AG33" s="17"/>
      <c r="AH33" s="10"/>
      <c r="AI33" s="9"/>
      <c r="AJ33" s="9"/>
      <c r="AK33" s="9"/>
      <c r="AL33" s="9"/>
      <c r="AM33" s="9"/>
      <c r="AN33" s="9"/>
      <c r="AO33" s="9"/>
      <c r="AP33" s="63"/>
      <c r="AQ33" s="63"/>
      <c r="AR33" s="12"/>
      <c r="AS33" s="12"/>
      <c r="AT33" s="12"/>
      <c r="AU33" s="12"/>
      <c r="AV33" s="12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18"/>
      <c r="BN33" s="8"/>
      <c r="BO33" s="8"/>
      <c r="BP33" s="8"/>
      <c r="BQ33" s="8"/>
      <c r="BR33" s="8"/>
      <c r="BS33" s="8"/>
      <c r="BT33" s="8"/>
    </row>
    <row r="34" spans="1:72" ht="9" customHeight="1">
      <c r="A34" s="6"/>
      <c r="B34" s="7"/>
      <c r="C34" s="11"/>
      <c r="D34" s="11"/>
      <c r="E34" s="11"/>
      <c r="F34" s="11"/>
      <c r="G34" s="10"/>
      <c r="H34" s="9"/>
      <c r="I34" s="9"/>
      <c r="J34" s="9"/>
      <c r="K34" s="9"/>
      <c r="L34" s="9"/>
      <c r="M34" s="9"/>
      <c r="N34" s="16"/>
      <c r="O34" s="17"/>
      <c r="P34" s="17"/>
      <c r="Q34" s="17"/>
      <c r="R34" s="17"/>
      <c r="S34" s="17"/>
      <c r="T34" s="10"/>
      <c r="U34" s="9"/>
      <c r="V34" s="9"/>
      <c r="W34" s="9"/>
      <c r="X34" s="9"/>
      <c r="Y34" s="9"/>
      <c r="Z34" s="9"/>
      <c r="AA34" s="16"/>
      <c r="AB34" s="16"/>
      <c r="AC34" s="17"/>
      <c r="AD34" s="17"/>
      <c r="AE34" s="17"/>
      <c r="AF34" s="17"/>
      <c r="AG34" s="17"/>
      <c r="AH34" s="10"/>
      <c r="AI34" s="9"/>
      <c r="AJ34" s="9"/>
      <c r="AK34" s="9"/>
      <c r="AL34" s="9"/>
      <c r="AM34" s="9"/>
      <c r="AN34" s="9"/>
      <c r="AO34" s="9"/>
      <c r="AP34" s="63"/>
      <c r="AQ34" s="52"/>
      <c r="AR34" s="12"/>
      <c r="AS34" s="12"/>
      <c r="AT34" s="12"/>
      <c r="AU34" s="12"/>
      <c r="AV34" s="12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18"/>
      <c r="BN34" s="8"/>
      <c r="BO34" s="8"/>
      <c r="BP34" s="8"/>
      <c r="BQ34" s="8"/>
      <c r="BR34" s="8"/>
      <c r="BS34" s="8"/>
      <c r="BT34" s="8"/>
    </row>
    <row r="35" spans="2:43" ht="9" customHeight="1">
      <c r="B35" s="51"/>
      <c r="C35" s="51"/>
      <c r="D35" s="51"/>
      <c r="E35" s="51"/>
      <c r="F35" s="51"/>
      <c r="G35" s="51"/>
      <c r="H35" s="51"/>
      <c r="I35" s="51"/>
      <c r="J35" s="3"/>
      <c r="K35" s="51"/>
      <c r="L35" s="51"/>
      <c r="M35" s="51"/>
      <c r="N35" s="51"/>
      <c r="O35" s="51"/>
      <c r="P35" s="3"/>
      <c r="Q35" s="51"/>
      <c r="R35" s="51"/>
      <c r="S35" s="51"/>
      <c r="T35" s="51"/>
      <c r="U35" s="51"/>
      <c r="V35" s="3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4"/>
      <c r="AI35" s="4"/>
      <c r="AJ35" s="4"/>
      <c r="AK35" s="4"/>
      <c r="AL35" s="51"/>
      <c r="AM35" s="51"/>
      <c r="AN35" s="51"/>
      <c r="AO35" s="51"/>
      <c r="AP35" s="52"/>
      <c r="AQ35" s="52"/>
    </row>
    <row r="36" spans="1:64" ht="9" customHeight="1">
      <c r="A36" s="19"/>
      <c r="B36" s="314" t="s">
        <v>61</v>
      </c>
      <c r="C36" s="314"/>
      <c r="D36" s="307" t="str">
        <f>'時間表'!R15</f>
        <v>鴻池サブＧ（Ａ）</v>
      </c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20"/>
      <c r="R36" s="20"/>
      <c r="S36" s="20"/>
      <c r="T36" s="19"/>
      <c r="U36" s="19"/>
      <c r="V36" s="19"/>
      <c r="W36" s="19"/>
      <c r="X36" s="19"/>
      <c r="Y36" s="19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9" customHeight="1">
      <c r="A37" s="19"/>
      <c r="B37" s="314"/>
      <c r="C37" s="314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20"/>
      <c r="R37" s="20"/>
      <c r="S37" s="20"/>
      <c r="T37" s="19"/>
      <c r="U37" s="19"/>
      <c r="V37" s="19"/>
      <c r="W37" s="19"/>
      <c r="X37" s="19"/>
      <c r="Y37" s="19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9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ht="9" customHeight="1">
      <c r="A39" s="19"/>
      <c r="B39" s="283" t="str">
        <f>'時間表'!P13</f>
        <v>B</v>
      </c>
      <c r="C39" s="284"/>
      <c r="D39" s="287" t="s">
        <v>79</v>
      </c>
      <c r="E39" s="287"/>
      <c r="F39" s="287"/>
      <c r="G39" s="288"/>
      <c r="H39" s="278" t="str">
        <f>B41</f>
        <v>朱　雀</v>
      </c>
      <c r="I39" s="278"/>
      <c r="J39" s="278"/>
      <c r="K39" s="278"/>
      <c r="L39" s="278"/>
      <c r="M39" s="278"/>
      <c r="N39" s="278" t="str">
        <f>B43</f>
        <v>GINGA</v>
      </c>
      <c r="O39" s="278"/>
      <c r="P39" s="278"/>
      <c r="Q39" s="278"/>
      <c r="R39" s="278"/>
      <c r="S39" s="278"/>
      <c r="T39" s="278" t="str">
        <f>B45</f>
        <v>岩出市</v>
      </c>
      <c r="U39" s="278"/>
      <c r="V39" s="278"/>
      <c r="W39" s="278"/>
      <c r="X39" s="278"/>
      <c r="Y39" s="278"/>
      <c r="Z39" s="271" t="s">
        <v>62</v>
      </c>
      <c r="AA39" s="271"/>
      <c r="AB39" s="271" t="s">
        <v>63</v>
      </c>
      <c r="AC39" s="271"/>
      <c r="AD39" s="271" t="s">
        <v>64</v>
      </c>
      <c r="AE39" s="271"/>
      <c r="AF39" s="271" t="s">
        <v>67</v>
      </c>
      <c r="AG39" s="271"/>
      <c r="AH39" s="271" t="s">
        <v>65</v>
      </c>
      <c r="AI39" s="271"/>
      <c r="AJ39" s="278" t="s">
        <v>69</v>
      </c>
      <c r="AK39" s="278"/>
      <c r="AL39" s="271" t="s">
        <v>66</v>
      </c>
      <c r="AM39" s="271"/>
      <c r="AN39" s="271" t="s">
        <v>68</v>
      </c>
      <c r="AO39" s="271"/>
      <c r="AP39" s="291" t="s">
        <v>83</v>
      </c>
      <c r="AQ39" s="292"/>
      <c r="AR39" s="310" t="s">
        <v>57</v>
      </c>
      <c r="AS39" s="310" t="s">
        <v>59</v>
      </c>
      <c r="AT39" s="310" t="s">
        <v>58</v>
      </c>
      <c r="AU39" s="189"/>
      <c r="AV39" s="310" t="s">
        <v>60</v>
      </c>
      <c r="AW39" s="19"/>
      <c r="AX39" s="19"/>
      <c r="AY39" s="19"/>
      <c r="AZ39" s="19"/>
      <c r="BA39" s="350" t="str">
        <f>B39</f>
        <v>B</v>
      </c>
      <c r="BB39" s="351"/>
      <c r="BC39" s="351" t="s">
        <v>88</v>
      </c>
      <c r="BD39" s="351"/>
      <c r="BE39" s="351"/>
      <c r="BF39" s="354"/>
      <c r="BG39" s="137"/>
      <c r="BH39" s="137"/>
      <c r="BI39" s="137"/>
      <c r="BJ39" s="137"/>
      <c r="BK39" s="137"/>
      <c r="BL39" s="137"/>
    </row>
    <row r="40" spans="1:64" ht="9" customHeight="1">
      <c r="A40" s="19"/>
      <c r="B40" s="285"/>
      <c r="C40" s="286"/>
      <c r="D40" s="289"/>
      <c r="E40" s="289"/>
      <c r="F40" s="289"/>
      <c r="G40" s="290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2"/>
      <c r="AA40" s="272"/>
      <c r="AB40" s="272"/>
      <c r="AC40" s="272"/>
      <c r="AD40" s="272"/>
      <c r="AE40" s="272"/>
      <c r="AF40" s="277"/>
      <c r="AG40" s="277"/>
      <c r="AH40" s="272"/>
      <c r="AI40" s="272"/>
      <c r="AJ40" s="278"/>
      <c r="AK40" s="278"/>
      <c r="AL40" s="272"/>
      <c r="AM40" s="272"/>
      <c r="AN40" s="277"/>
      <c r="AO40" s="277"/>
      <c r="AP40" s="293"/>
      <c r="AQ40" s="294"/>
      <c r="AR40" s="310"/>
      <c r="AS40" s="310"/>
      <c r="AT40" s="310"/>
      <c r="AU40" s="189"/>
      <c r="AV40" s="310"/>
      <c r="AW40" s="19"/>
      <c r="AX40" s="19"/>
      <c r="AY40" s="19"/>
      <c r="AZ40" s="19"/>
      <c r="BA40" s="352"/>
      <c r="BB40" s="353"/>
      <c r="BC40" s="353"/>
      <c r="BD40" s="353"/>
      <c r="BE40" s="353"/>
      <c r="BF40" s="355"/>
      <c r="BG40" s="137"/>
      <c r="BH40" s="137"/>
      <c r="BI40" s="137"/>
      <c r="BJ40" s="137"/>
      <c r="BK40" s="137"/>
      <c r="BL40" s="137"/>
    </row>
    <row r="41" spans="1:74" ht="9" customHeight="1">
      <c r="A41" s="263">
        <f>AN41</f>
        <v>2</v>
      </c>
      <c r="B41" s="264" t="str">
        <f>'時間表'!Q15</f>
        <v>朱　雀</v>
      </c>
      <c r="C41" s="265"/>
      <c r="D41" s="265"/>
      <c r="E41" s="265"/>
      <c r="F41" s="265"/>
      <c r="G41" s="266"/>
      <c r="H41" s="273"/>
      <c r="I41" s="273"/>
      <c r="J41" s="273"/>
      <c r="K41" s="273"/>
      <c r="L41" s="273"/>
      <c r="M41" s="274"/>
      <c r="N41" s="261" t="str">
        <f>IF(O41="","",IF(O41&gt;R41,"○",IF(O41&lt;R41,"●","△")))</f>
        <v>●</v>
      </c>
      <c r="O41" s="254">
        <f>IF('時間表'!J5="","",'時間表'!J5)</f>
        <v>0</v>
      </c>
      <c r="P41" s="254"/>
      <c r="Q41" s="34"/>
      <c r="R41" s="254">
        <f>IF('時間表'!L5="","",'時間表'!L5)</f>
        <v>3</v>
      </c>
      <c r="S41" s="254"/>
      <c r="T41" s="261" t="str">
        <f>IF(U41="","",IF(U41&gt;X41,"○",IF(U41&lt;X41,"●","△")))</f>
        <v>○</v>
      </c>
      <c r="U41" s="254">
        <f>IF('時間表'!J7="","",'時間表'!J7)</f>
        <v>9</v>
      </c>
      <c r="V41" s="254"/>
      <c r="W41" s="34"/>
      <c r="X41" s="254">
        <f>IF('時間表'!L7="","",'時間表'!L7)</f>
        <v>0</v>
      </c>
      <c r="Y41" s="254"/>
      <c r="Z41" s="267">
        <f>IF('時間表'!J5="","",COUNTIF($H41:$Y42,"○"))</f>
        <v>1</v>
      </c>
      <c r="AA41" s="268"/>
      <c r="AB41" s="267">
        <f>IF('時間表'!J5="","",COUNTIF($H41:$Y42,"△"))</f>
        <v>0</v>
      </c>
      <c r="AC41" s="268"/>
      <c r="AD41" s="267">
        <f>IF('時間表'!J5="","",COUNTIF($H41:$Y42,"●"))</f>
        <v>1</v>
      </c>
      <c r="AE41" s="268"/>
      <c r="AF41" s="260">
        <f>_xlfn.IFERROR(Z41*3+AB41,"")</f>
        <v>3</v>
      </c>
      <c r="AG41" s="260"/>
      <c r="AH41" s="256">
        <f>_xlfn.IFERROR(O41+U41,"")</f>
        <v>9</v>
      </c>
      <c r="AI41" s="257"/>
      <c r="AJ41" s="260">
        <f>_xlfn.IFERROR(R41+X41,"")</f>
        <v>3</v>
      </c>
      <c r="AK41" s="260"/>
      <c r="AL41" s="279">
        <f>_xlfn.IFERROR(AH41-AJ41,"")</f>
        <v>6</v>
      </c>
      <c r="AM41" s="280"/>
      <c r="AN41" s="260">
        <f>IF('時間表'!J5="","",RANK(AV41,$AV$41:$AV$46,1))</f>
        <v>2</v>
      </c>
      <c r="AO41" s="260"/>
      <c r="AP41" s="311">
        <f>_xlfn.IFERROR(BA41,"")</f>
        <v>4</v>
      </c>
      <c r="AQ41" s="311"/>
      <c r="AR41" s="250">
        <f>_xlfn.IFERROR(100*RANK(AF41,AF41:AG46,0),"")</f>
        <v>200</v>
      </c>
      <c r="AS41" s="250">
        <f>_xlfn.IFERROR(10*RANK(AL41,AL41:AM46,0),"")</f>
        <v>20</v>
      </c>
      <c r="AT41" s="250">
        <f>_xlfn.IFERROR(RANK(AH41,AH41:AI46,0),"")</f>
        <v>2</v>
      </c>
      <c r="AU41" s="45"/>
      <c r="AV41" s="250">
        <f>_xlfn.IFERROR(SUM(AR41:AT42),"")</f>
        <v>222</v>
      </c>
      <c r="AW41" s="19"/>
      <c r="AX41" s="19"/>
      <c r="AY41" s="19"/>
      <c r="AZ41" s="19"/>
      <c r="BA41" s="278">
        <f>VLOOKUP(BB41,BU41:BV52,2,0)</f>
        <v>4</v>
      </c>
      <c r="BB41" s="278" t="str">
        <f>B41</f>
        <v>朱　雀</v>
      </c>
      <c r="BC41" s="278"/>
      <c r="BD41" s="278"/>
      <c r="BE41" s="278"/>
      <c r="BF41" s="278"/>
      <c r="BG41" s="39"/>
      <c r="BH41" s="39"/>
      <c r="BI41" s="39"/>
      <c r="BJ41" s="39"/>
      <c r="BK41" s="375" t="str">
        <f>G57</f>
        <v>GINGA</v>
      </c>
      <c r="BL41" s="375"/>
      <c r="BM41" s="375"/>
      <c r="BN41" s="375"/>
      <c r="BO41" s="376" t="str">
        <f>IF(L57&gt;L60,"1",IF(L57&lt;L60,"2","0"))</f>
        <v>2</v>
      </c>
      <c r="BP41" s="376"/>
      <c r="BQ41" s="375" t="str">
        <f>IF(N57&gt;N60,"1",IF(N57&lt;N60,"2","0"))</f>
        <v>0</v>
      </c>
      <c r="BR41" s="375"/>
      <c r="BS41" s="375">
        <f>BO41+BQ41</f>
        <v>2</v>
      </c>
      <c r="BT41" s="375"/>
      <c r="BU41" s="377" t="str">
        <f>BK41</f>
        <v>GINGA</v>
      </c>
      <c r="BV41" s="377">
        <f>BS41</f>
        <v>2</v>
      </c>
    </row>
    <row r="42" spans="1:74" ht="9" customHeight="1">
      <c r="A42" s="263"/>
      <c r="B42" s="264"/>
      <c r="C42" s="265"/>
      <c r="D42" s="265"/>
      <c r="E42" s="265"/>
      <c r="F42" s="265"/>
      <c r="G42" s="266"/>
      <c r="H42" s="275"/>
      <c r="I42" s="275"/>
      <c r="J42" s="275"/>
      <c r="K42" s="275"/>
      <c r="L42" s="275"/>
      <c r="M42" s="276"/>
      <c r="N42" s="262"/>
      <c r="O42" s="255"/>
      <c r="P42" s="255"/>
      <c r="Q42" s="35"/>
      <c r="R42" s="255"/>
      <c r="S42" s="255"/>
      <c r="T42" s="262"/>
      <c r="U42" s="255"/>
      <c r="V42" s="255"/>
      <c r="W42" s="35"/>
      <c r="X42" s="255"/>
      <c r="Y42" s="255"/>
      <c r="Z42" s="269"/>
      <c r="AA42" s="270"/>
      <c r="AB42" s="269"/>
      <c r="AC42" s="270"/>
      <c r="AD42" s="269"/>
      <c r="AE42" s="270"/>
      <c r="AF42" s="260"/>
      <c r="AG42" s="260"/>
      <c r="AH42" s="258"/>
      <c r="AI42" s="259"/>
      <c r="AJ42" s="260"/>
      <c r="AK42" s="260"/>
      <c r="AL42" s="279"/>
      <c r="AM42" s="280"/>
      <c r="AN42" s="260"/>
      <c r="AO42" s="260"/>
      <c r="AP42" s="311"/>
      <c r="AQ42" s="311"/>
      <c r="AR42" s="250"/>
      <c r="AS42" s="250"/>
      <c r="AT42" s="250"/>
      <c r="AU42" s="45"/>
      <c r="AV42" s="250"/>
      <c r="AW42" s="19"/>
      <c r="AX42" s="19"/>
      <c r="AY42" s="19"/>
      <c r="AZ42" s="19"/>
      <c r="BA42" s="278"/>
      <c r="BB42" s="278"/>
      <c r="BC42" s="278"/>
      <c r="BD42" s="278"/>
      <c r="BE42" s="278"/>
      <c r="BF42" s="278"/>
      <c r="BG42" s="39"/>
      <c r="BH42" s="39"/>
      <c r="BI42" s="39"/>
      <c r="BJ42" s="39"/>
      <c r="BK42" s="375"/>
      <c r="BL42" s="375"/>
      <c r="BM42" s="375"/>
      <c r="BN42" s="375"/>
      <c r="BO42" s="376"/>
      <c r="BP42" s="376"/>
      <c r="BQ42" s="375"/>
      <c r="BR42" s="375"/>
      <c r="BS42" s="375"/>
      <c r="BT42" s="375"/>
      <c r="BU42" s="377"/>
      <c r="BV42" s="377"/>
    </row>
    <row r="43" spans="1:74" ht="9" customHeight="1">
      <c r="A43" s="263">
        <f>AN43</f>
        <v>1</v>
      </c>
      <c r="B43" s="264" t="str">
        <f>'時間表'!Q17</f>
        <v>GINGA</v>
      </c>
      <c r="C43" s="265"/>
      <c r="D43" s="265"/>
      <c r="E43" s="265"/>
      <c r="F43" s="265"/>
      <c r="G43" s="266"/>
      <c r="H43" s="261" t="str">
        <f>IF(I43="","",IF(I43&gt;L43,"○",IF(I43&lt;L43,"●","△")))</f>
        <v>○</v>
      </c>
      <c r="I43" s="254">
        <f>R41</f>
        <v>3</v>
      </c>
      <c r="J43" s="254"/>
      <c r="K43" s="34"/>
      <c r="L43" s="254">
        <f>O41</f>
        <v>0</v>
      </c>
      <c r="M43" s="281"/>
      <c r="N43" s="251"/>
      <c r="O43" s="252"/>
      <c r="P43" s="252"/>
      <c r="Q43" s="252"/>
      <c r="R43" s="252"/>
      <c r="S43" s="252"/>
      <c r="T43" s="261" t="str">
        <f>IF(U43="","",IF(U43&gt;X43,"○",IF(U43&lt;X43,"●","△")))</f>
        <v>○</v>
      </c>
      <c r="U43" s="254">
        <f>IF('時間表'!J9="","",'時間表'!J9)</f>
        <v>11</v>
      </c>
      <c r="V43" s="254"/>
      <c r="W43" s="34"/>
      <c r="X43" s="254">
        <f>IF('時間表'!L9="","",'時間表'!L9)</f>
        <v>0</v>
      </c>
      <c r="Y43" s="254"/>
      <c r="Z43" s="267">
        <f>IF('時間表'!L5="","",COUNTIF($H43:$Y44,"○"))</f>
        <v>2</v>
      </c>
      <c r="AA43" s="268"/>
      <c r="AB43" s="267">
        <f>IF('時間表'!L5="","",COUNTIF($H43:$Y44,"△"))</f>
        <v>0</v>
      </c>
      <c r="AC43" s="268"/>
      <c r="AD43" s="267">
        <f>IF('時間表'!L5="","",COUNTIF($H43:$Y44,"●"))</f>
        <v>0</v>
      </c>
      <c r="AE43" s="268"/>
      <c r="AF43" s="260">
        <f>_xlfn.IFERROR(Z43*3+AB43,"")</f>
        <v>6</v>
      </c>
      <c r="AG43" s="260"/>
      <c r="AH43" s="256">
        <f>_xlfn.IFERROR(I43+U43,"")</f>
        <v>14</v>
      </c>
      <c r="AI43" s="257"/>
      <c r="AJ43" s="260">
        <f>_xlfn.IFERROR(L43+X43,"")</f>
        <v>0</v>
      </c>
      <c r="AK43" s="260"/>
      <c r="AL43" s="279">
        <f>_xlfn.IFERROR(AH43-AJ43,"")</f>
        <v>14</v>
      </c>
      <c r="AM43" s="280"/>
      <c r="AN43" s="260">
        <f>IF('時間表'!L5="","",RANK(AV43,$AV$41:$AV$46,1))</f>
        <v>1</v>
      </c>
      <c r="AO43" s="260"/>
      <c r="AP43" s="311">
        <f>_xlfn.IFERROR(BA43,"")</f>
        <v>2</v>
      </c>
      <c r="AQ43" s="311"/>
      <c r="AR43" s="250">
        <f>_xlfn.IFERROR(100*RANK(AF43,AF41:AG46,0),"")</f>
        <v>100</v>
      </c>
      <c r="AS43" s="250">
        <f>_xlfn.IFERROR(10*RANK(AL43,AL41:AM46,0),"")</f>
        <v>10</v>
      </c>
      <c r="AT43" s="250">
        <f>_xlfn.IFERROR(RANK(AH43,AH41:AI46,0),"")</f>
        <v>1</v>
      </c>
      <c r="AU43" s="45"/>
      <c r="AV43" s="250">
        <f>_xlfn.IFERROR(SUM(AR43:AT44),"")</f>
        <v>111</v>
      </c>
      <c r="AW43" s="19"/>
      <c r="AX43" s="19"/>
      <c r="AY43" s="19"/>
      <c r="AZ43" s="19"/>
      <c r="BA43" s="278">
        <f>VLOOKUP(BB43,BU41:BV52,2,0)</f>
        <v>2</v>
      </c>
      <c r="BB43" s="278" t="str">
        <f>B43</f>
        <v>GINGA</v>
      </c>
      <c r="BC43" s="278"/>
      <c r="BD43" s="278"/>
      <c r="BE43" s="278"/>
      <c r="BF43" s="278"/>
      <c r="BG43" s="39"/>
      <c r="BH43" s="39"/>
      <c r="BI43" s="39"/>
      <c r="BJ43" s="39"/>
      <c r="BK43" s="375" t="str">
        <f>G60</f>
        <v>ﾃﾞｨｱﾌﾞﾛｯｻ高田</v>
      </c>
      <c r="BL43" s="375"/>
      <c r="BM43" s="375"/>
      <c r="BN43" s="375"/>
      <c r="BO43" s="376" t="str">
        <f>IF(L57&gt;L60,"2",IF(L57&lt;L60,"1","0"))</f>
        <v>1</v>
      </c>
      <c r="BP43" s="376"/>
      <c r="BQ43" s="375" t="str">
        <f>IF(N57&gt;N60,"2",IF(N57&lt;N60,"1","0"))</f>
        <v>0</v>
      </c>
      <c r="BR43" s="375"/>
      <c r="BS43" s="375">
        <f>BO43+BQ43</f>
        <v>1</v>
      </c>
      <c r="BT43" s="375"/>
      <c r="BU43" s="377" t="str">
        <f>BK43</f>
        <v>ﾃﾞｨｱﾌﾞﾛｯｻ高田</v>
      </c>
      <c r="BV43" s="377">
        <f>BS43</f>
        <v>1</v>
      </c>
    </row>
    <row r="44" spans="1:74" ht="9" customHeight="1">
      <c r="A44" s="263"/>
      <c r="B44" s="264"/>
      <c r="C44" s="265"/>
      <c r="D44" s="265"/>
      <c r="E44" s="265"/>
      <c r="F44" s="265"/>
      <c r="G44" s="266"/>
      <c r="H44" s="262"/>
      <c r="I44" s="255"/>
      <c r="J44" s="255"/>
      <c r="K44" s="35"/>
      <c r="L44" s="255"/>
      <c r="M44" s="282"/>
      <c r="N44" s="251"/>
      <c r="O44" s="252"/>
      <c r="P44" s="252"/>
      <c r="Q44" s="252"/>
      <c r="R44" s="252"/>
      <c r="S44" s="252"/>
      <c r="T44" s="262"/>
      <c r="U44" s="255"/>
      <c r="V44" s="255"/>
      <c r="W44" s="35"/>
      <c r="X44" s="255"/>
      <c r="Y44" s="255"/>
      <c r="Z44" s="269"/>
      <c r="AA44" s="270"/>
      <c r="AB44" s="269"/>
      <c r="AC44" s="270"/>
      <c r="AD44" s="269"/>
      <c r="AE44" s="270"/>
      <c r="AF44" s="260"/>
      <c r="AG44" s="260"/>
      <c r="AH44" s="258"/>
      <c r="AI44" s="259"/>
      <c r="AJ44" s="260"/>
      <c r="AK44" s="260"/>
      <c r="AL44" s="279"/>
      <c r="AM44" s="280"/>
      <c r="AN44" s="260"/>
      <c r="AO44" s="260"/>
      <c r="AP44" s="311"/>
      <c r="AQ44" s="311"/>
      <c r="AR44" s="250"/>
      <c r="AS44" s="250"/>
      <c r="AT44" s="250"/>
      <c r="AU44" s="45"/>
      <c r="AV44" s="250"/>
      <c r="AW44" s="19"/>
      <c r="AX44" s="19"/>
      <c r="AY44" s="19"/>
      <c r="AZ44" s="19"/>
      <c r="BA44" s="278"/>
      <c r="BB44" s="278"/>
      <c r="BC44" s="278"/>
      <c r="BD44" s="278"/>
      <c r="BE44" s="278"/>
      <c r="BF44" s="278"/>
      <c r="BG44" s="39"/>
      <c r="BH44" s="39"/>
      <c r="BI44" s="39"/>
      <c r="BJ44" s="39"/>
      <c r="BK44" s="375"/>
      <c r="BL44" s="375"/>
      <c r="BM44" s="375"/>
      <c r="BN44" s="375"/>
      <c r="BO44" s="376"/>
      <c r="BP44" s="376"/>
      <c r="BQ44" s="375"/>
      <c r="BR44" s="375"/>
      <c r="BS44" s="375"/>
      <c r="BT44" s="375"/>
      <c r="BU44" s="377"/>
      <c r="BV44" s="377"/>
    </row>
    <row r="45" spans="1:74" ht="9" customHeight="1">
      <c r="A45" s="263">
        <f>AN45</f>
        <v>3</v>
      </c>
      <c r="B45" s="264" t="str">
        <f>'時間表'!Q18</f>
        <v>岩出市</v>
      </c>
      <c r="C45" s="265"/>
      <c r="D45" s="265"/>
      <c r="E45" s="265"/>
      <c r="F45" s="265"/>
      <c r="G45" s="266"/>
      <c r="H45" s="261" t="str">
        <f>IF(I45="","",IF(I45&gt;L45,"○",IF(I45&lt;L45,"●","△")))</f>
        <v>●</v>
      </c>
      <c r="I45" s="254">
        <f>X41</f>
        <v>0</v>
      </c>
      <c r="J45" s="254"/>
      <c r="K45" s="34"/>
      <c r="L45" s="254">
        <f>U41</f>
        <v>9</v>
      </c>
      <c r="M45" s="281"/>
      <c r="N45" s="261" t="str">
        <f>IF(O45="","",IF(O45&gt;R45,"○",IF(O45&lt;R45,"●","△")))</f>
        <v>●</v>
      </c>
      <c r="O45" s="254">
        <f>X43</f>
        <v>0</v>
      </c>
      <c r="P45" s="254"/>
      <c r="Q45" s="34"/>
      <c r="R45" s="254">
        <f>U43</f>
        <v>11</v>
      </c>
      <c r="S45" s="281"/>
      <c r="T45" s="251"/>
      <c r="U45" s="252"/>
      <c r="V45" s="252"/>
      <c r="W45" s="252"/>
      <c r="X45" s="252"/>
      <c r="Y45" s="253"/>
      <c r="Z45" s="267">
        <f>IF('時間表'!L7="","",COUNTIF($H45:$Y46,"○"))</f>
        <v>0</v>
      </c>
      <c r="AA45" s="268"/>
      <c r="AB45" s="267">
        <f>IF('時間表'!L7="","",COUNTIF($H45:$Y46,"△"))</f>
        <v>0</v>
      </c>
      <c r="AC45" s="268"/>
      <c r="AD45" s="267">
        <f>IF('時間表'!L7="","",COUNTIF($H45:$Y46,"●"))</f>
        <v>2</v>
      </c>
      <c r="AE45" s="268"/>
      <c r="AF45" s="260">
        <f>_xlfn.IFERROR(Z45*3+AB45,"")</f>
        <v>0</v>
      </c>
      <c r="AG45" s="260"/>
      <c r="AH45" s="256">
        <f>_xlfn.IFERROR(O45+I45,"")</f>
        <v>0</v>
      </c>
      <c r="AI45" s="257"/>
      <c r="AJ45" s="260">
        <f>_xlfn.IFERROR(R45+L45,"")</f>
        <v>20</v>
      </c>
      <c r="AK45" s="260"/>
      <c r="AL45" s="279">
        <f>_xlfn.IFERROR(AH45-AJ45,"")</f>
        <v>-20</v>
      </c>
      <c r="AM45" s="280"/>
      <c r="AN45" s="260">
        <f>IF('時間表'!J9="","",RANK(AV45,$AV$41:$AV$46,1))</f>
        <v>3</v>
      </c>
      <c r="AO45" s="260"/>
      <c r="AP45" s="311">
        <f>_xlfn.IFERROR(BA45,"")</f>
        <v>6</v>
      </c>
      <c r="AQ45" s="311"/>
      <c r="AR45" s="250">
        <f>_xlfn.IFERROR(100*RANK(AF45,AF41:AG46,0),"")</f>
        <v>300</v>
      </c>
      <c r="AS45" s="250">
        <f>_xlfn.IFERROR(10*RANK(AL45,AL41:AM46,0),"")</f>
        <v>30</v>
      </c>
      <c r="AT45" s="250">
        <f>_xlfn.IFERROR(RANK(AH45,AH41:AI46,0),"")</f>
        <v>3</v>
      </c>
      <c r="AU45" s="45"/>
      <c r="AV45" s="250">
        <f>_xlfn.IFERROR(SUM(AR45:AT46),"")</f>
        <v>333</v>
      </c>
      <c r="AW45" s="19"/>
      <c r="AX45" s="19"/>
      <c r="AY45" s="19"/>
      <c r="AZ45" s="19"/>
      <c r="BA45" s="278">
        <f>VLOOKUP(BB45,BU41:BV52,2,0)</f>
        <v>6</v>
      </c>
      <c r="BB45" s="278" t="str">
        <f>B45</f>
        <v>岩出市</v>
      </c>
      <c r="BC45" s="278"/>
      <c r="BD45" s="278"/>
      <c r="BE45" s="278"/>
      <c r="BF45" s="278"/>
      <c r="BG45" s="39"/>
      <c r="BH45" s="39"/>
      <c r="BI45" s="39"/>
      <c r="BJ45" s="39"/>
      <c r="BK45" s="375" t="str">
        <f>U57</f>
        <v>朱　雀</v>
      </c>
      <c r="BL45" s="375"/>
      <c r="BM45" s="375"/>
      <c r="BN45" s="375"/>
      <c r="BO45" s="376" t="str">
        <f>IF(Z57&gt;Z60,"3",IF(Z57&lt;Z60,"4","0"))</f>
        <v>0</v>
      </c>
      <c r="BP45" s="376"/>
      <c r="BQ45" s="375" t="str">
        <f>IF(AB57&gt;AB60,"3",IF(AB57&lt;AB60,"4","0"))</f>
        <v>4</v>
      </c>
      <c r="BR45" s="375"/>
      <c r="BS45" s="375">
        <f>BO45+BQ45</f>
        <v>4</v>
      </c>
      <c r="BT45" s="375"/>
      <c r="BU45" s="377" t="str">
        <f>BK45</f>
        <v>朱　雀</v>
      </c>
      <c r="BV45" s="377">
        <f>BS45</f>
        <v>4</v>
      </c>
    </row>
    <row r="46" spans="1:74" ht="9" customHeight="1">
      <c r="A46" s="263"/>
      <c r="B46" s="264"/>
      <c r="C46" s="265"/>
      <c r="D46" s="265"/>
      <c r="E46" s="265"/>
      <c r="F46" s="265"/>
      <c r="G46" s="266"/>
      <c r="H46" s="262"/>
      <c r="I46" s="255"/>
      <c r="J46" s="255"/>
      <c r="K46" s="35"/>
      <c r="L46" s="255"/>
      <c r="M46" s="282"/>
      <c r="N46" s="262"/>
      <c r="O46" s="255"/>
      <c r="P46" s="255"/>
      <c r="Q46" s="35"/>
      <c r="R46" s="255"/>
      <c r="S46" s="282"/>
      <c r="T46" s="251"/>
      <c r="U46" s="252"/>
      <c r="V46" s="252"/>
      <c r="W46" s="252"/>
      <c r="X46" s="252"/>
      <c r="Y46" s="253"/>
      <c r="Z46" s="269"/>
      <c r="AA46" s="270"/>
      <c r="AB46" s="269"/>
      <c r="AC46" s="270"/>
      <c r="AD46" s="269"/>
      <c r="AE46" s="270"/>
      <c r="AF46" s="260"/>
      <c r="AG46" s="260"/>
      <c r="AH46" s="258"/>
      <c r="AI46" s="259"/>
      <c r="AJ46" s="260"/>
      <c r="AK46" s="260"/>
      <c r="AL46" s="279"/>
      <c r="AM46" s="280"/>
      <c r="AN46" s="260"/>
      <c r="AO46" s="260"/>
      <c r="AP46" s="311"/>
      <c r="AQ46" s="311"/>
      <c r="AR46" s="250"/>
      <c r="AS46" s="250"/>
      <c r="AT46" s="250"/>
      <c r="AU46" s="45"/>
      <c r="AV46" s="250"/>
      <c r="AW46" s="19"/>
      <c r="AX46" s="19"/>
      <c r="AY46" s="19"/>
      <c r="AZ46" s="19"/>
      <c r="BA46" s="278"/>
      <c r="BB46" s="278"/>
      <c r="BC46" s="278"/>
      <c r="BD46" s="278"/>
      <c r="BE46" s="278"/>
      <c r="BF46" s="278"/>
      <c r="BG46" s="39"/>
      <c r="BH46" s="39"/>
      <c r="BI46" s="39"/>
      <c r="BJ46" s="39"/>
      <c r="BK46" s="375"/>
      <c r="BL46" s="375"/>
      <c r="BM46" s="375"/>
      <c r="BN46" s="375"/>
      <c r="BO46" s="376"/>
      <c r="BP46" s="376"/>
      <c r="BQ46" s="375"/>
      <c r="BR46" s="375"/>
      <c r="BS46" s="375"/>
      <c r="BT46" s="375"/>
      <c r="BU46" s="377"/>
      <c r="BV46" s="377"/>
    </row>
    <row r="47" spans="1:74" ht="9" customHeight="1">
      <c r="A47" s="19"/>
      <c r="B47" s="22"/>
      <c r="C47" s="22"/>
      <c r="D47" s="22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2"/>
      <c r="P47" s="23"/>
      <c r="Q47" s="22"/>
      <c r="R47" s="22"/>
      <c r="S47" s="22"/>
      <c r="T47" s="22"/>
      <c r="U47" s="22"/>
      <c r="V47" s="23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4"/>
      <c r="AI47" s="24"/>
      <c r="AJ47" s="24"/>
      <c r="AK47" s="24"/>
      <c r="AL47" s="22"/>
      <c r="AM47" s="22"/>
      <c r="AN47" s="22"/>
      <c r="AO47" s="22"/>
      <c r="AP47" s="19"/>
      <c r="AQ47" s="19"/>
      <c r="AR47" s="25"/>
      <c r="AS47" s="25"/>
      <c r="AT47" s="25"/>
      <c r="AU47" s="25"/>
      <c r="AV47" s="25"/>
      <c r="AW47" s="19"/>
      <c r="AX47" s="19"/>
      <c r="AY47" s="19"/>
      <c r="AZ47" s="19"/>
      <c r="BA47" s="278">
        <f>VLOOKUP(BB47,BU41:BV52,2,0)</f>
        <v>5</v>
      </c>
      <c r="BB47" s="278" t="str">
        <f>B50</f>
        <v>鳥　見</v>
      </c>
      <c r="BC47" s="278"/>
      <c r="BD47" s="278"/>
      <c r="BE47" s="278"/>
      <c r="BF47" s="278"/>
      <c r="BG47" s="39"/>
      <c r="BH47" s="39"/>
      <c r="BI47" s="39"/>
      <c r="BJ47" s="39"/>
      <c r="BK47" s="375" t="str">
        <f>U60</f>
        <v>生野朝鮮初級</v>
      </c>
      <c r="BL47" s="375"/>
      <c r="BM47" s="375"/>
      <c r="BN47" s="375"/>
      <c r="BO47" s="376" t="str">
        <f>IF(Z57&gt;Z60,"4",IF(Z57&lt;Z60,"3","0"))</f>
        <v>0</v>
      </c>
      <c r="BP47" s="376"/>
      <c r="BQ47" s="375" t="str">
        <f>IF(AB57&gt;AB60,"4",IF(AB57&lt;AB60,"3","0"))</f>
        <v>3</v>
      </c>
      <c r="BR47" s="375"/>
      <c r="BS47" s="375">
        <f>BO47+BQ47</f>
        <v>3</v>
      </c>
      <c r="BT47" s="375"/>
      <c r="BU47" s="377" t="str">
        <f>BK47</f>
        <v>生野朝鮮初級</v>
      </c>
      <c r="BV47" s="377">
        <f>BS47</f>
        <v>3</v>
      </c>
    </row>
    <row r="48" spans="1:74" ht="9" customHeight="1">
      <c r="A48" s="19"/>
      <c r="B48" s="283" t="str">
        <f>B39</f>
        <v>B</v>
      </c>
      <c r="C48" s="284"/>
      <c r="D48" s="287" t="s">
        <v>80</v>
      </c>
      <c r="E48" s="287"/>
      <c r="F48" s="287"/>
      <c r="G48" s="288"/>
      <c r="H48" s="278" t="str">
        <f>B50</f>
        <v>鳥　見</v>
      </c>
      <c r="I48" s="278"/>
      <c r="J48" s="278"/>
      <c r="K48" s="278"/>
      <c r="L48" s="278"/>
      <c r="M48" s="278"/>
      <c r="N48" s="278" t="str">
        <f>B52</f>
        <v>生野朝鮮初級</v>
      </c>
      <c r="O48" s="278"/>
      <c r="P48" s="278"/>
      <c r="Q48" s="278"/>
      <c r="R48" s="278"/>
      <c r="S48" s="278"/>
      <c r="T48" s="278" t="str">
        <f>B54</f>
        <v>ﾃﾞｨｱﾌﾞﾛｯｻ高田</v>
      </c>
      <c r="U48" s="278"/>
      <c r="V48" s="278"/>
      <c r="W48" s="278"/>
      <c r="X48" s="278"/>
      <c r="Y48" s="278"/>
      <c r="Z48" s="271" t="s">
        <v>62</v>
      </c>
      <c r="AA48" s="271"/>
      <c r="AB48" s="271" t="s">
        <v>63</v>
      </c>
      <c r="AC48" s="271"/>
      <c r="AD48" s="271" t="s">
        <v>64</v>
      </c>
      <c r="AE48" s="271"/>
      <c r="AF48" s="271" t="s">
        <v>67</v>
      </c>
      <c r="AG48" s="271"/>
      <c r="AH48" s="271" t="s">
        <v>65</v>
      </c>
      <c r="AI48" s="271"/>
      <c r="AJ48" s="278" t="s">
        <v>69</v>
      </c>
      <c r="AK48" s="278"/>
      <c r="AL48" s="271" t="s">
        <v>66</v>
      </c>
      <c r="AM48" s="271"/>
      <c r="AN48" s="271" t="s">
        <v>68</v>
      </c>
      <c r="AO48" s="271"/>
      <c r="AP48" s="291" t="s">
        <v>83</v>
      </c>
      <c r="AQ48" s="292"/>
      <c r="AR48" s="310" t="s">
        <v>57</v>
      </c>
      <c r="AS48" s="310" t="s">
        <v>59</v>
      </c>
      <c r="AT48" s="310" t="s">
        <v>58</v>
      </c>
      <c r="AU48" s="189"/>
      <c r="AV48" s="310" t="s">
        <v>60</v>
      </c>
      <c r="AW48" s="19"/>
      <c r="AX48" s="19"/>
      <c r="AY48" s="19"/>
      <c r="AZ48" s="19"/>
      <c r="BA48" s="278"/>
      <c r="BB48" s="278"/>
      <c r="BC48" s="278"/>
      <c r="BD48" s="278"/>
      <c r="BE48" s="278"/>
      <c r="BF48" s="278"/>
      <c r="BG48" s="39"/>
      <c r="BH48" s="39"/>
      <c r="BI48" s="39"/>
      <c r="BJ48" s="39"/>
      <c r="BK48" s="375"/>
      <c r="BL48" s="375"/>
      <c r="BM48" s="375"/>
      <c r="BN48" s="375"/>
      <c r="BO48" s="376"/>
      <c r="BP48" s="376"/>
      <c r="BQ48" s="375"/>
      <c r="BR48" s="375"/>
      <c r="BS48" s="375"/>
      <c r="BT48" s="375"/>
      <c r="BU48" s="377"/>
      <c r="BV48" s="377"/>
    </row>
    <row r="49" spans="1:74" ht="9" customHeight="1">
      <c r="A49" s="19"/>
      <c r="B49" s="285"/>
      <c r="C49" s="286"/>
      <c r="D49" s="289"/>
      <c r="E49" s="289"/>
      <c r="F49" s="289"/>
      <c r="G49" s="290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2"/>
      <c r="AA49" s="272"/>
      <c r="AB49" s="272"/>
      <c r="AC49" s="272"/>
      <c r="AD49" s="272"/>
      <c r="AE49" s="272"/>
      <c r="AF49" s="277"/>
      <c r="AG49" s="277"/>
      <c r="AH49" s="272"/>
      <c r="AI49" s="272"/>
      <c r="AJ49" s="278"/>
      <c r="AK49" s="278"/>
      <c r="AL49" s="272"/>
      <c r="AM49" s="272"/>
      <c r="AN49" s="277"/>
      <c r="AO49" s="277"/>
      <c r="AP49" s="293"/>
      <c r="AQ49" s="294"/>
      <c r="AR49" s="310"/>
      <c r="AS49" s="310"/>
      <c r="AT49" s="310"/>
      <c r="AU49" s="189"/>
      <c r="AV49" s="310"/>
      <c r="AW49" s="19"/>
      <c r="AX49" s="19"/>
      <c r="AY49" s="19"/>
      <c r="AZ49" s="19"/>
      <c r="BA49" s="278">
        <f>VLOOKUP(BB49,BU41:BV52,2,0)</f>
        <v>3</v>
      </c>
      <c r="BB49" s="278" t="str">
        <f>B52</f>
        <v>生野朝鮮初級</v>
      </c>
      <c r="BC49" s="278"/>
      <c r="BD49" s="278"/>
      <c r="BE49" s="278"/>
      <c r="BF49" s="278"/>
      <c r="BG49" s="39"/>
      <c r="BH49" s="39"/>
      <c r="BI49" s="39"/>
      <c r="BJ49" s="39"/>
      <c r="BK49" s="375" t="str">
        <f>AI57</f>
        <v>岩出市</v>
      </c>
      <c r="BL49" s="375"/>
      <c r="BM49" s="375"/>
      <c r="BN49" s="375"/>
      <c r="BO49" s="376" t="str">
        <f>IF(AN57&gt;AN60,"5",IF(AN57&lt;AN60,"6","0"))</f>
        <v>6</v>
      </c>
      <c r="BP49" s="376"/>
      <c r="BQ49" s="375" t="str">
        <f>IF(AP57&gt;AP60,"5",IF(AP57&lt;AP60,"6","0"))</f>
        <v>0</v>
      </c>
      <c r="BR49" s="375"/>
      <c r="BS49" s="375">
        <f>BO49+BQ49</f>
        <v>6</v>
      </c>
      <c r="BT49" s="375"/>
      <c r="BU49" s="377" t="str">
        <f>BK49</f>
        <v>岩出市</v>
      </c>
      <c r="BV49" s="377">
        <f>BS49</f>
        <v>6</v>
      </c>
    </row>
    <row r="50" spans="1:74" ht="9" customHeight="1">
      <c r="A50" s="263">
        <f>AN50</f>
        <v>3</v>
      </c>
      <c r="B50" s="264" t="str">
        <f>'時間表'!Q19</f>
        <v>鳥　見</v>
      </c>
      <c r="C50" s="265"/>
      <c r="D50" s="265"/>
      <c r="E50" s="265"/>
      <c r="F50" s="265"/>
      <c r="G50" s="266"/>
      <c r="H50" s="273"/>
      <c r="I50" s="273"/>
      <c r="J50" s="273"/>
      <c r="K50" s="273"/>
      <c r="L50" s="273"/>
      <c r="M50" s="274"/>
      <c r="N50" s="49" t="str">
        <f>IF(O50="","",IF(O50&gt;R50,"○",IF(O50&lt;R50,"●","△")))</f>
        <v>●</v>
      </c>
      <c r="O50" s="254">
        <f>IF('時間表'!J6="","",'時間表'!J6)</f>
        <v>0</v>
      </c>
      <c r="P50" s="254"/>
      <c r="Q50" s="34"/>
      <c r="R50" s="254">
        <f>IF('時間表'!L6="","",'時間表'!L6)</f>
        <v>1</v>
      </c>
      <c r="S50" s="254"/>
      <c r="T50" s="261" t="str">
        <f>IF(U50="","",IF(U50&gt;X50,"○",IF(U50&lt;X50,"●","△")))</f>
        <v>●</v>
      </c>
      <c r="U50" s="254">
        <f>IF('時間表'!J8="","",'時間表'!J8)</f>
        <v>0</v>
      </c>
      <c r="V50" s="254"/>
      <c r="W50" s="34"/>
      <c r="X50" s="254">
        <f>IF('時間表'!L8="","",'時間表'!L8)</f>
        <v>3</v>
      </c>
      <c r="Y50" s="254"/>
      <c r="Z50" s="267">
        <f>IF('時間表'!J6="","",COUNTIF($H50:$Y51,"○"))</f>
        <v>0</v>
      </c>
      <c r="AA50" s="268"/>
      <c r="AB50" s="267">
        <f>IF('時間表'!J6="","",COUNTIF($H50:$Y51,"△"))</f>
        <v>0</v>
      </c>
      <c r="AC50" s="268"/>
      <c r="AD50" s="267">
        <f>IF('時間表'!J6="","",COUNTIF($H50:$Y51,"●"))</f>
        <v>2</v>
      </c>
      <c r="AE50" s="268"/>
      <c r="AF50" s="260">
        <f>_xlfn.IFERROR(Z50*3+AB50,"")</f>
        <v>0</v>
      </c>
      <c r="AG50" s="260"/>
      <c r="AH50" s="256">
        <f>_xlfn.IFERROR(O50+U50,"")</f>
        <v>0</v>
      </c>
      <c r="AI50" s="257"/>
      <c r="AJ50" s="260">
        <f>_xlfn.IFERROR(R50+X50,"")</f>
        <v>4</v>
      </c>
      <c r="AK50" s="260"/>
      <c r="AL50" s="279">
        <f>_xlfn.IFERROR(AH50-AJ50,"")</f>
        <v>-4</v>
      </c>
      <c r="AM50" s="280"/>
      <c r="AN50" s="260">
        <f>IF('時間表'!J6="","",RANK(AV50,$AV$50:$AV$55,1))</f>
        <v>3</v>
      </c>
      <c r="AO50" s="260"/>
      <c r="AP50" s="311">
        <f>_xlfn.IFERROR(BA47,"")</f>
        <v>5</v>
      </c>
      <c r="AQ50" s="311"/>
      <c r="AR50" s="250">
        <f>_xlfn.IFERROR(100*RANK(AF50,AF50:AG55,0),"")</f>
        <v>300</v>
      </c>
      <c r="AS50" s="250">
        <f>_xlfn.IFERROR(10*RANK(AL50,AL50:AM55,0),"")</f>
        <v>30</v>
      </c>
      <c r="AT50" s="250">
        <f>_xlfn.IFERROR(RANK(AH50,AH50:AI55,0),"")</f>
        <v>3</v>
      </c>
      <c r="AU50" s="45"/>
      <c r="AV50" s="250">
        <f>_xlfn.IFERROR(SUM(AR50:AT51),"")</f>
        <v>333</v>
      </c>
      <c r="AW50" s="19"/>
      <c r="AX50" s="19"/>
      <c r="AY50" s="19"/>
      <c r="AZ50" s="19"/>
      <c r="BA50" s="278"/>
      <c r="BB50" s="278"/>
      <c r="BC50" s="278"/>
      <c r="BD50" s="278"/>
      <c r="BE50" s="278"/>
      <c r="BF50" s="278"/>
      <c r="BG50" s="39"/>
      <c r="BH50" s="39"/>
      <c r="BI50" s="39"/>
      <c r="BJ50" s="39"/>
      <c r="BK50" s="375"/>
      <c r="BL50" s="375"/>
      <c r="BM50" s="375"/>
      <c r="BN50" s="375"/>
      <c r="BO50" s="376"/>
      <c r="BP50" s="376"/>
      <c r="BQ50" s="375"/>
      <c r="BR50" s="375"/>
      <c r="BS50" s="375"/>
      <c r="BT50" s="375"/>
      <c r="BU50" s="377"/>
      <c r="BV50" s="377"/>
    </row>
    <row r="51" spans="1:74" ht="9" customHeight="1">
      <c r="A51" s="263"/>
      <c r="B51" s="264"/>
      <c r="C51" s="265"/>
      <c r="D51" s="265"/>
      <c r="E51" s="265"/>
      <c r="F51" s="265"/>
      <c r="G51" s="266"/>
      <c r="H51" s="275"/>
      <c r="I51" s="275"/>
      <c r="J51" s="275"/>
      <c r="K51" s="275"/>
      <c r="L51" s="275"/>
      <c r="M51" s="276"/>
      <c r="N51" s="36"/>
      <c r="O51" s="255"/>
      <c r="P51" s="255"/>
      <c r="Q51" s="35"/>
      <c r="R51" s="255"/>
      <c r="S51" s="255"/>
      <c r="T51" s="262"/>
      <c r="U51" s="255"/>
      <c r="V51" s="255"/>
      <c r="W51" s="35"/>
      <c r="X51" s="255"/>
      <c r="Y51" s="255"/>
      <c r="Z51" s="269"/>
      <c r="AA51" s="270"/>
      <c r="AB51" s="269"/>
      <c r="AC51" s="270"/>
      <c r="AD51" s="269"/>
      <c r="AE51" s="270"/>
      <c r="AF51" s="260"/>
      <c r="AG51" s="260"/>
      <c r="AH51" s="258"/>
      <c r="AI51" s="259"/>
      <c r="AJ51" s="260"/>
      <c r="AK51" s="260"/>
      <c r="AL51" s="279"/>
      <c r="AM51" s="280"/>
      <c r="AN51" s="260"/>
      <c r="AO51" s="260"/>
      <c r="AP51" s="311"/>
      <c r="AQ51" s="311"/>
      <c r="AR51" s="250"/>
      <c r="AS51" s="250"/>
      <c r="AT51" s="250"/>
      <c r="AU51" s="45"/>
      <c r="AV51" s="250"/>
      <c r="AW51" s="19"/>
      <c r="AX51" s="19"/>
      <c r="AY51" s="19"/>
      <c r="AZ51" s="19"/>
      <c r="BA51" s="278">
        <f>VLOOKUP(BB51,BU41:BV52,2,0)</f>
        <v>1</v>
      </c>
      <c r="BB51" s="278" t="str">
        <f>B54</f>
        <v>ﾃﾞｨｱﾌﾞﾛｯｻ高田</v>
      </c>
      <c r="BC51" s="278"/>
      <c r="BD51" s="278"/>
      <c r="BE51" s="278"/>
      <c r="BF51" s="278"/>
      <c r="BG51" s="39"/>
      <c r="BH51" s="39"/>
      <c r="BI51" s="39"/>
      <c r="BJ51" s="39"/>
      <c r="BK51" s="375" t="str">
        <f>AI60</f>
        <v>鳥　見</v>
      </c>
      <c r="BL51" s="375"/>
      <c r="BM51" s="375"/>
      <c r="BN51" s="375"/>
      <c r="BO51" s="376" t="str">
        <f>IF(AN57&gt;AN60,"6",IF(AN57&lt;AN60,"5","0"))</f>
        <v>5</v>
      </c>
      <c r="BP51" s="376"/>
      <c r="BQ51" s="375" t="str">
        <f>IF(AP57&gt;AP60,"6",IF(AP57&lt;AP60,"5","0"))</f>
        <v>0</v>
      </c>
      <c r="BR51" s="375"/>
      <c r="BS51" s="375">
        <f>BO51+BQ51</f>
        <v>5</v>
      </c>
      <c r="BT51" s="375"/>
      <c r="BU51" s="377" t="str">
        <f>BK51</f>
        <v>鳥　見</v>
      </c>
      <c r="BV51" s="377">
        <f>BS51</f>
        <v>5</v>
      </c>
    </row>
    <row r="52" spans="1:74" ht="9" customHeight="1">
      <c r="A52" s="263">
        <f>AN52</f>
        <v>2</v>
      </c>
      <c r="B52" s="264" t="str">
        <f>'時間表'!Q20</f>
        <v>生野朝鮮初級</v>
      </c>
      <c r="C52" s="265"/>
      <c r="D52" s="265"/>
      <c r="E52" s="265"/>
      <c r="F52" s="265"/>
      <c r="G52" s="266"/>
      <c r="H52" s="261" t="str">
        <f>IF(I52="","",IF(I52&gt;L52,"○",IF(I52&lt;L52,"●","△")))</f>
        <v>○</v>
      </c>
      <c r="I52" s="254">
        <f>R50</f>
        <v>1</v>
      </c>
      <c r="J52" s="254"/>
      <c r="K52" s="34"/>
      <c r="L52" s="254">
        <f>O50</f>
        <v>0</v>
      </c>
      <c r="M52" s="281"/>
      <c r="N52" s="251"/>
      <c r="O52" s="252"/>
      <c r="P52" s="252"/>
      <c r="Q52" s="252"/>
      <c r="R52" s="252"/>
      <c r="S52" s="252"/>
      <c r="T52" s="261" t="str">
        <f>IF(U52="","",IF(U52&gt;X52,"○",IF(U52&lt;X52,"●","△")))</f>
        <v>△</v>
      </c>
      <c r="U52" s="254">
        <f>IF('時間表'!J10="","",'時間表'!J10)</f>
        <v>0</v>
      </c>
      <c r="V52" s="254"/>
      <c r="W52" s="34"/>
      <c r="X52" s="254">
        <f>IF('時間表'!L10="","",'時間表'!L10)</f>
        <v>0</v>
      </c>
      <c r="Y52" s="254"/>
      <c r="Z52" s="267">
        <f>IF('時間表'!L6="","",COUNTIF($H52:$Y53,"○"))</f>
        <v>1</v>
      </c>
      <c r="AA52" s="268"/>
      <c r="AB52" s="267">
        <f>IF('時間表'!L6="","",COUNTIF($H52:$Y53,"△"))</f>
        <v>1</v>
      </c>
      <c r="AC52" s="268"/>
      <c r="AD52" s="267">
        <f>IF('時間表'!L6="","",COUNTIF($H52:$Y53,"●"))</f>
        <v>0</v>
      </c>
      <c r="AE52" s="268"/>
      <c r="AF52" s="260">
        <f>_xlfn.IFERROR(Z52*3+AB52,"")</f>
        <v>4</v>
      </c>
      <c r="AG52" s="260"/>
      <c r="AH52" s="256">
        <f>_xlfn.IFERROR(I52+U52,"")</f>
        <v>1</v>
      </c>
      <c r="AI52" s="257"/>
      <c r="AJ52" s="260">
        <f>_xlfn.IFERROR(L52+X52,"")</f>
        <v>0</v>
      </c>
      <c r="AK52" s="260"/>
      <c r="AL52" s="279">
        <f>_xlfn.IFERROR(AH52-AJ52,"")</f>
        <v>1</v>
      </c>
      <c r="AM52" s="280"/>
      <c r="AN52" s="260">
        <f>IF('時間表'!L6="","",RANK(AV52,$AV$50:$AV$55,1))</f>
        <v>2</v>
      </c>
      <c r="AO52" s="260"/>
      <c r="AP52" s="311">
        <f>_xlfn.IFERROR(BA49,"")</f>
        <v>3</v>
      </c>
      <c r="AQ52" s="311"/>
      <c r="AR52" s="250">
        <f>_xlfn.IFERROR(100*RANK(AF52,AF50:AG55,0),"")</f>
        <v>100</v>
      </c>
      <c r="AS52" s="250">
        <f>_xlfn.IFERROR(10*RANK(AL52,AL50:AM55,0),"")</f>
        <v>20</v>
      </c>
      <c r="AT52" s="250">
        <f>_xlfn.IFERROR(RANK(AH52,AH50:AI55,0),"")</f>
        <v>2</v>
      </c>
      <c r="AU52" s="45"/>
      <c r="AV52" s="250">
        <f>_xlfn.IFERROR(SUM(AR52:AT53),"")</f>
        <v>122</v>
      </c>
      <c r="AW52" s="19"/>
      <c r="AX52" s="19"/>
      <c r="AY52" s="19"/>
      <c r="AZ52" s="19"/>
      <c r="BA52" s="278"/>
      <c r="BB52" s="278"/>
      <c r="BC52" s="278"/>
      <c r="BD52" s="278"/>
      <c r="BE52" s="278"/>
      <c r="BF52" s="278"/>
      <c r="BG52" s="39"/>
      <c r="BH52" s="39"/>
      <c r="BI52" s="39"/>
      <c r="BJ52" s="39"/>
      <c r="BK52" s="375"/>
      <c r="BL52" s="375"/>
      <c r="BM52" s="375"/>
      <c r="BN52" s="375"/>
      <c r="BO52" s="376"/>
      <c r="BP52" s="376"/>
      <c r="BQ52" s="375"/>
      <c r="BR52" s="375"/>
      <c r="BS52" s="375"/>
      <c r="BT52" s="375"/>
      <c r="BU52" s="377"/>
      <c r="BV52" s="377"/>
    </row>
    <row r="53" spans="1:64" ht="9" customHeight="1">
      <c r="A53" s="263"/>
      <c r="B53" s="264"/>
      <c r="C53" s="265"/>
      <c r="D53" s="265"/>
      <c r="E53" s="265"/>
      <c r="F53" s="265"/>
      <c r="G53" s="266"/>
      <c r="H53" s="262"/>
      <c r="I53" s="255"/>
      <c r="J53" s="255"/>
      <c r="K53" s="35"/>
      <c r="L53" s="255"/>
      <c r="M53" s="282"/>
      <c r="N53" s="251"/>
      <c r="O53" s="252"/>
      <c r="P53" s="252"/>
      <c r="Q53" s="252"/>
      <c r="R53" s="252"/>
      <c r="S53" s="252"/>
      <c r="T53" s="262"/>
      <c r="U53" s="255"/>
      <c r="V53" s="255"/>
      <c r="W53" s="35"/>
      <c r="X53" s="255"/>
      <c r="Y53" s="255"/>
      <c r="Z53" s="269"/>
      <c r="AA53" s="270"/>
      <c r="AB53" s="269"/>
      <c r="AC53" s="270"/>
      <c r="AD53" s="269"/>
      <c r="AE53" s="270"/>
      <c r="AF53" s="260"/>
      <c r="AG53" s="260"/>
      <c r="AH53" s="258"/>
      <c r="AI53" s="259"/>
      <c r="AJ53" s="260"/>
      <c r="AK53" s="260"/>
      <c r="AL53" s="279"/>
      <c r="AM53" s="280"/>
      <c r="AN53" s="260"/>
      <c r="AO53" s="260"/>
      <c r="AP53" s="311"/>
      <c r="AQ53" s="311"/>
      <c r="AR53" s="250"/>
      <c r="AS53" s="250"/>
      <c r="AT53" s="250"/>
      <c r="AU53" s="45"/>
      <c r="AV53" s="250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9" customHeight="1">
      <c r="A54" s="263">
        <f>AN54</f>
        <v>1</v>
      </c>
      <c r="B54" s="264" t="str">
        <f>'時間表'!Q21</f>
        <v>ﾃﾞｨｱﾌﾞﾛｯｻ高田</v>
      </c>
      <c r="C54" s="265"/>
      <c r="D54" s="265"/>
      <c r="E54" s="265"/>
      <c r="F54" s="265"/>
      <c r="G54" s="266"/>
      <c r="H54" s="261" t="str">
        <f>IF(I54="","",IF(I54&gt;L54,"○",IF(I54&lt;L54,"●","△")))</f>
        <v>○</v>
      </c>
      <c r="I54" s="254">
        <f>X50</f>
        <v>3</v>
      </c>
      <c r="J54" s="254"/>
      <c r="K54" s="34"/>
      <c r="L54" s="254">
        <f>U50</f>
        <v>0</v>
      </c>
      <c r="M54" s="281"/>
      <c r="N54" s="261" t="str">
        <f>IF(O54="","",IF(O54&gt;R54,"○",IF(O54&lt;R54,"●","△")))</f>
        <v>△</v>
      </c>
      <c r="O54" s="254">
        <f>X52</f>
        <v>0</v>
      </c>
      <c r="P54" s="254"/>
      <c r="Q54" s="34"/>
      <c r="R54" s="254">
        <f>U52</f>
        <v>0</v>
      </c>
      <c r="S54" s="281"/>
      <c r="T54" s="251"/>
      <c r="U54" s="252"/>
      <c r="V54" s="252"/>
      <c r="W54" s="252"/>
      <c r="X54" s="252"/>
      <c r="Y54" s="253"/>
      <c r="Z54" s="267">
        <f>IF('時間表'!L8="","",COUNTIF($H54:$Y55,"○"))</f>
        <v>1</v>
      </c>
      <c r="AA54" s="268"/>
      <c r="AB54" s="267">
        <f>IF('時間表'!L8="","",COUNTIF($H54:$Y55,"△"))</f>
        <v>1</v>
      </c>
      <c r="AC54" s="268"/>
      <c r="AD54" s="267">
        <f>IF('時間表'!L8="","",COUNTIF($H54:$Y55,"●"))</f>
        <v>0</v>
      </c>
      <c r="AE54" s="268"/>
      <c r="AF54" s="260">
        <f>_xlfn.IFERROR(Z54*3+AB54,"")</f>
        <v>4</v>
      </c>
      <c r="AG54" s="260"/>
      <c r="AH54" s="256">
        <f>_xlfn.IFERROR(O54+I54,"")</f>
        <v>3</v>
      </c>
      <c r="AI54" s="257"/>
      <c r="AJ54" s="260">
        <f>_xlfn.IFERROR(R54+L54,"")</f>
        <v>0</v>
      </c>
      <c r="AK54" s="260"/>
      <c r="AL54" s="279">
        <f>_xlfn.IFERROR(AH54-AJ54,"")</f>
        <v>3</v>
      </c>
      <c r="AM54" s="280"/>
      <c r="AN54" s="260">
        <f>IF('時間表'!L8="","",RANK(AV54,$AV$50:$AV$55,1))</f>
        <v>1</v>
      </c>
      <c r="AO54" s="260"/>
      <c r="AP54" s="311">
        <f>_xlfn.IFERROR(BA51,"")</f>
        <v>1</v>
      </c>
      <c r="AQ54" s="311"/>
      <c r="AR54" s="250">
        <f>_xlfn.IFERROR(100*RANK(AF54,AF50:AG55,0),"")</f>
        <v>100</v>
      </c>
      <c r="AS54" s="250">
        <f>_xlfn.IFERROR(10*RANK(AL54,AL50:AM55,0),"")</f>
        <v>10</v>
      </c>
      <c r="AT54" s="250">
        <f>_xlfn.IFERROR(RANK(AH54,AH50:AI55,0),"")</f>
        <v>1</v>
      </c>
      <c r="AU54" s="45"/>
      <c r="AV54" s="250">
        <f>_xlfn.IFERROR(SUM(AR54:AT55),"")</f>
        <v>111</v>
      </c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9" customHeight="1">
      <c r="A55" s="263"/>
      <c r="B55" s="264"/>
      <c r="C55" s="265"/>
      <c r="D55" s="265"/>
      <c r="E55" s="265"/>
      <c r="F55" s="265"/>
      <c r="G55" s="266"/>
      <c r="H55" s="262"/>
      <c r="I55" s="255"/>
      <c r="J55" s="255"/>
      <c r="K55" s="35"/>
      <c r="L55" s="255"/>
      <c r="M55" s="282"/>
      <c r="N55" s="262"/>
      <c r="O55" s="255"/>
      <c r="P55" s="255"/>
      <c r="Q55" s="35"/>
      <c r="R55" s="255"/>
      <c r="S55" s="282"/>
      <c r="T55" s="251"/>
      <c r="U55" s="252"/>
      <c r="V55" s="252"/>
      <c r="W55" s="252"/>
      <c r="X55" s="252"/>
      <c r="Y55" s="253"/>
      <c r="Z55" s="269"/>
      <c r="AA55" s="270"/>
      <c r="AB55" s="269"/>
      <c r="AC55" s="270"/>
      <c r="AD55" s="269"/>
      <c r="AE55" s="270"/>
      <c r="AF55" s="260"/>
      <c r="AG55" s="260"/>
      <c r="AH55" s="258"/>
      <c r="AI55" s="259"/>
      <c r="AJ55" s="260"/>
      <c r="AK55" s="260"/>
      <c r="AL55" s="279"/>
      <c r="AM55" s="280"/>
      <c r="AN55" s="260"/>
      <c r="AO55" s="260"/>
      <c r="AP55" s="311"/>
      <c r="AQ55" s="311"/>
      <c r="AR55" s="250"/>
      <c r="AS55" s="250"/>
      <c r="AT55" s="250"/>
      <c r="AU55" s="45"/>
      <c r="AV55" s="250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ht="9" customHeight="1">
      <c r="A56" s="26"/>
      <c r="B56" s="22"/>
      <c r="C56" s="22"/>
      <c r="D56" s="22"/>
      <c r="E56" s="22"/>
      <c r="F56" s="22"/>
      <c r="G56" s="22"/>
      <c r="H56" s="23"/>
      <c r="I56" s="22"/>
      <c r="J56" s="23"/>
      <c r="K56" s="23"/>
      <c r="L56" s="22"/>
      <c r="M56" s="22"/>
      <c r="N56" s="23"/>
      <c r="O56" s="22"/>
      <c r="P56" s="22"/>
      <c r="Q56" s="23"/>
      <c r="R56" s="22"/>
      <c r="S56" s="22"/>
      <c r="T56" s="22"/>
      <c r="U56" s="22"/>
      <c r="V56" s="22"/>
      <c r="W56" s="22"/>
      <c r="X56" s="22"/>
      <c r="Y56" s="22"/>
      <c r="Z56" s="27"/>
      <c r="AA56" s="27"/>
      <c r="AB56" s="27"/>
      <c r="AC56" s="27"/>
      <c r="AD56" s="27"/>
      <c r="AE56" s="27"/>
      <c r="AF56" s="22"/>
      <c r="AG56" s="22"/>
      <c r="AH56" s="28"/>
      <c r="AI56" s="28"/>
      <c r="AJ56" s="22"/>
      <c r="AK56" s="22"/>
      <c r="AL56" s="28"/>
      <c r="AM56" s="28"/>
      <c r="AN56" s="29"/>
      <c r="AO56" s="29"/>
      <c r="AP56" s="19"/>
      <c r="AQ56" s="19"/>
      <c r="AR56" s="27"/>
      <c r="AS56" s="27"/>
      <c r="AT56" s="27"/>
      <c r="AU56" s="27"/>
      <c r="AV56" s="27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ht="9" customHeight="1">
      <c r="A57" s="26"/>
      <c r="B57" s="301" t="s">
        <v>81</v>
      </c>
      <c r="C57" s="301"/>
      <c r="D57" s="301"/>
      <c r="E57" s="301"/>
      <c r="F57" s="319">
        <v>1</v>
      </c>
      <c r="G57" s="295" t="str">
        <f>IF('時間表'!L9="","",VLOOKUP(F57,BⅠ,2,0))</f>
        <v>GINGA</v>
      </c>
      <c r="H57" s="295"/>
      <c r="I57" s="295"/>
      <c r="J57" s="295"/>
      <c r="K57" s="295"/>
      <c r="L57" s="299">
        <f>IF('時間表'!J15="","",'時間表'!J15)</f>
        <v>2</v>
      </c>
      <c r="M57" s="299"/>
      <c r="N57" s="302">
        <f>IF('時間表'!J16="","",'時間表'!J16)</f>
      </c>
      <c r="O57" s="303"/>
      <c r="P57" s="360" t="s">
        <v>84</v>
      </c>
      <c r="Q57" s="361"/>
      <c r="R57" s="361"/>
      <c r="S57" s="361"/>
      <c r="T57" s="371">
        <v>2</v>
      </c>
      <c r="U57" s="369" t="str">
        <f>_xlfn.IFERROR(VLOOKUP(T57,BⅠ,2,0),"")</f>
        <v>朱　雀</v>
      </c>
      <c r="V57" s="369"/>
      <c r="W57" s="369"/>
      <c r="X57" s="369"/>
      <c r="Y57" s="369"/>
      <c r="Z57" s="299">
        <f>IF('時間表'!J13="","",'時間表'!J13)</f>
        <v>1</v>
      </c>
      <c r="AA57" s="299"/>
      <c r="AB57" s="302">
        <f>IF('時間表'!J14="","",'時間表'!J14)</f>
        <v>0</v>
      </c>
      <c r="AC57" s="303"/>
      <c r="AD57" s="360" t="s">
        <v>86</v>
      </c>
      <c r="AE57" s="361"/>
      <c r="AF57" s="361"/>
      <c r="AG57" s="361"/>
      <c r="AH57" s="371">
        <v>3</v>
      </c>
      <c r="AI57" s="369" t="str">
        <f>_xlfn.IFERROR(VLOOKUP(AH57,BⅠ,2,0),"")</f>
        <v>岩出市</v>
      </c>
      <c r="AJ57" s="369"/>
      <c r="AK57" s="369"/>
      <c r="AL57" s="369"/>
      <c r="AM57" s="369"/>
      <c r="AN57" s="299">
        <f>IF('時間表'!J11="","",'時間表'!J11)</f>
        <v>0</v>
      </c>
      <c r="AO57" s="299"/>
      <c r="AP57" s="302">
        <f>IF('時間表'!J12="","",'時間表'!J12)</f>
      </c>
      <c r="AQ57" s="303"/>
      <c r="AR57" s="19"/>
      <c r="AS57" s="146"/>
      <c r="AT57" s="146"/>
      <c r="AU57" s="146"/>
      <c r="AV57" s="146"/>
      <c r="AW57" s="72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</row>
    <row r="58" spans="1:64" ht="9" customHeight="1" thickBot="1">
      <c r="A58" s="26"/>
      <c r="B58" s="301"/>
      <c r="C58" s="301"/>
      <c r="D58" s="301"/>
      <c r="E58" s="301"/>
      <c r="F58" s="320"/>
      <c r="G58" s="296"/>
      <c r="H58" s="296"/>
      <c r="I58" s="296"/>
      <c r="J58" s="296"/>
      <c r="K58" s="296"/>
      <c r="L58" s="299"/>
      <c r="M58" s="299"/>
      <c r="N58" s="304"/>
      <c r="O58" s="305"/>
      <c r="P58" s="360"/>
      <c r="Q58" s="361"/>
      <c r="R58" s="361"/>
      <c r="S58" s="361"/>
      <c r="T58" s="372"/>
      <c r="U58" s="370"/>
      <c r="V58" s="370"/>
      <c r="W58" s="370"/>
      <c r="X58" s="370"/>
      <c r="Y58" s="370"/>
      <c r="Z58" s="299"/>
      <c r="AA58" s="299"/>
      <c r="AB58" s="304"/>
      <c r="AC58" s="305"/>
      <c r="AD58" s="360"/>
      <c r="AE58" s="361"/>
      <c r="AF58" s="361"/>
      <c r="AG58" s="361"/>
      <c r="AH58" s="372"/>
      <c r="AI58" s="370"/>
      <c r="AJ58" s="370"/>
      <c r="AK58" s="370"/>
      <c r="AL58" s="370"/>
      <c r="AM58" s="370"/>
      <c r="AN58" s="299"/>
      <c r="AO58" s="299"/>
      <c r="AP58" s="304"/>
      <c r="AQ58" s="305"/>
      <c r="AR58" s="19"/>
      <c r="AS58" s="146"/>
      <c r="AT58" s="146"/>
      <c r="AU58" s="146"/>
      <c r="AV58" s="146"/>
      <c r="AW58" s="72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</row>
    <row r="59" spans="1:64" ht="9" customHeight="1">
      <c r="A59" s="26"/>
      <c r="B59" s="31"/>
      <c r="C59" s="118"/>
      <c r="D59" s="46"/>
      <c r="E59" s="39"/>
      <c r="F59" s="39"/>
      <c r="G59" s="39"/>
      <c r="H59" s="40"/>
      <c r="I59" s="39"/>
      <c r="J59" s="41"/>
      <c r="K59" s="37"/>
      <c r="L59" s="39"/>
      <c r="M59" s="124"/>
      <c r="N59" s="349" t="s">
        <v>123</v>
      </c>
      <c r="O59" s="349"/>
      <c r="P59" s="31"/>
      <c r="Q59" s="119"/>
      <c r="R59" s="31"/>
      <c r="S59" s="22"/>
      <c r="T59" s="22"/>
      <c r="U59" s="22"/>
      <c r="V59" s="22"/>
      <c r="W59" s="22"/>
      <c r="X59" s="23"/>
      <c r="Y59" s="30"/>
      <c r="Z59" s="22"/>
      <c r="AA59" s="124"/>
      <c r="AB59" s="349" t="s">
        <v>123</v>
      </c>
      <c r="AC59" s="349"/>
      <c r="AD59" s="31"/>
      <c r="AE59" s="119"/>
      <c r="AF59" s="31"/>
      <c r="AG59" s="22"/>
      <c r="AH59" s="22"/>
      <c r="AI59" s="22"/>
      <c r="AJ59" s="22"/>
      <c r="AK59" s="22"/>
      <c r="AL59" s="23"/>
      <c r="AM59" s="30"/>
      <c r="AN59" s="22"/>
      <c r="AO59" s="124"/>
      <c r="AP59" s="349" t="s">
        <v>123</v>
      </c>
      <c r="AQ59" s="349"/>
      <c r="AR59" s="19"/>
      <c r="AS59" s="146"/>
      <c r="AT59" s="146"/>
      <c r="AU59" s="146"/>
      <c r="AV59" s="146"/>
      <c r="AW59" s="72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</row>
    <row r="60" spans="1:64" ht="9" customHeight="1">
      <c r="A60" s="26"/>
      <c r="B60" s="301" t="s">
        <v>82</v>
      </c>
      <c r="C60" s="301"/>
      <c r="D60" s="301"/>
      <c r="E60" s="301"/>
      <c r="F60" s="319">
        <v>1</v>
      </c>
      <c r="G60" s="295" t="str">
        <f>IF('時間表'!L10="","",VLOOKUP(F60,BⅡ,2,0))</f>
        <v>ﾃﾞｨｱﾌﾞﾛｯｻ高田</v>
      </c>
      <c r="H60" s="295"/>
      <c r="I60" s="295"/>
      <c r="J60" s="295"/>
      <c r="K60" s="295"/>
      <c r="L60" s="299">
        <f>IF('時間表'!L15="","",'時間表'!L15)</f>
        <v>3</v>
      </c>
      <c r="M60" s="299"/>
      <c r="N60" s="302">
        <f>IF('時間表'!L16="","",'時間表'!L16)</f>
      </c>
      <c r="O60" s="303"/>
      <c r="P60" s="360" t="s">
        <v>85</v>
      </c>
      <c r="Q60" s="361"/>
      <c r="R60" s="361"/>
      <c r="S60" s="361"/>
      <c r="T60" s="371">
        <v>2</v>
      </c>
      <c r="U60" s="369" t="str">
        <f>_xlfn.IFERROR(VLOOKUP(T60,BⅡ,2,0),"")</f>
        <v>生野朝鮮初級</v>
      </c>
      <c r="V60" s="369"/>
      <c r="W60" s="369"/>
      <c r="X60" s="369"/>
      <c r="Y60" s="369"/>
      <c r="Z60" s="299">
        <f>IF('時間表'!L13="","",'時間表'!L13)</f>
        <v>1</v>
      </c>
      <c r="AA60" s="299"/>
      <c r="AB60" s="302">
        <f>IF('時間表'!L14="","",'時間表'!L14)</f>
        <v>2</v>
      </c>
      <c r="AC60" s="303"/>
      <c r="AD60" s="360" t="s">
        <v>87</v>
      </c>
      <c r="AE60" s="361"/>
      <c r="AF60" s="361"/>
      <c r="AG60" s="361"/>
      <c r="AH60" s="371">
        <v>3</v>
      </c>
      <c r="AI60" s="369" t="str">
        <f>_xlfn.IFERROR(VLOOKUP(AH60,BⅡ,2,0),"")</f>
        <v>鳥　見</v>
      </c>
      <c r="AJ60" s="369"/>
      <c r="AK60" s="369"/>
      <c r="AL60" s="369"/>
      <c r="AM60" s="369"/>
      <c r="AN60" s="299">
        <f>IF('時間表'!L11="","",'時間表'!L11)</f>
        <v>14</v>
      </c>
      <c r="AO60" s="299"/>
      <c r="AP60" s="302">
        <f>IF('時間表'!L12="","",'時間表'!L12)</f>
      </c>
      <c r="AQ60" s="303"/>
      <c r="AR60" s="30"/>
      <c r="AS60" s="146"/>
      <c r="AT60" s="146"/>
      <c r="AU60" s="146"/>
      <c r="AV60" s="146"/>
      <c r="AW60" s="72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</row>
    <row r="61" spans="1:64" ht="9" customHeight="1" thickBot="1">
      <c r="A61" s="26"/>
      <c r="B61" s="301"/>
      <c r="C61" s="301"/>
      <c r="D61" s="301"/>
      <c r="E61" s="301"/>
      <c r="F61" s="320"/>
      <c r="G61" s="296"/>
      <c r="H61" s="296"/>
      <c r="I61" s="296"/>
      <c r="J61" s="296"/>
      <c r="K61" s="296"/>
      <c r="L61" s="299"/>
      <c r="M61" s="299"/>
      <c r="N61" s="304"/>
      <c r="O61" s="305"/>
      <c r="P61" s="360"/>
      <c r="Q61" s="361"/>
      <c r="R61" s="361"/>
      <c r="S61" s="361"/>
      <c r="T61" s="372"/>
      <c r="U61" s="370"/>
      <c r="V61" s="370"/>
      <c r="W61" s="370"/>
      <c r="X61" s="370"/>
      <c r="Y61" s="370"/>
      <c r="Z61" s="299"/>
      <c r="AA61" s="299"/>
      <c r="AB61" s="304"/>
      <c r="AC61" s="305"/>
      <c r="AD61" s="360"/>
      <c r="AE61" s="361"/>
      <c r="AF61" s="361"/>
      <c r="AG61" s="361"/>
      <c r="AH61" s="372"/>
      <c r="AI61" s="370"/>
      <c r="AJ61" s="370"/>
      <c r="AK61" s="370"/>
      <c r="AL61" s="370"/>
      <c r="AM61" s="370"/>
      <c r="AN61" s="299"/>
      <c r="AO61" s="299"/>
      <c r="AP61" s="304"/>
      <c r="AQ61" s="305"/>
      <c r="AR61" s="30"/>
      <c r="AS61" s="146"/>
      <c r="AT61" s="146"/>
      <c r="AU61" s="146"/>
      <c r="AV61" s="146"/>
      <c r="AW61" s="72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</row>
    <row r="62" spans="26:64" ht="9" customHeight="1"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2"/>
      <c r="AQ62" s="52"/>
      <c r="AS62" s="146"/>
      <c r="AT62" s="146"/>
      <c r="AU62" s="146"/>
      <c r="AV62" s="146"/>
      <c r="AW62" s="72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</row>
    <row r="63" spans="26:43" ht="9" customHeight="1"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2"/>
      <c r="AQ63" s="52"/>
    </row>
    <row r="64" spans="26:43" ht="9" customHeight="1"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2"/>
      <c r="AQ64" s="52"/>
    </row>
    <row r="65" spans="26:43" ht="9" customHeight="1"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2"/>
      <c r="AQ65" s="52"/>
    </row>
    <row r="66" spans="1:64" ht="9" customHeight="1">
      <c r="A66" s="19"/>
      <c r="B66" s="314" t="s">
        <v>61</v>
      </c>
      <c r="C66" s="314"/>
      <c r="D66" s="307" t="str">
        <f>'時間表'!R24</f>
        <v>鴻池サブＧ（Ｂ）</v>
      </c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20"/>
      <c r="R66" s="20"/>
      <c r="S66" s="20"/>
      <c r="T66" s="19"/>
      <c r="U66" s="19"/>
      <c r="V66" s="19"/>
      <c r="W66" s="19"/>
      <c r="X66" s="19"/>
      <c r="Y66" s="19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ht="9" customHeight="1">
      <c r="A67" s="19"/>
      <c r="B67" s="314"/>
      <c r="C67" s="314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20"/>
      <c r="R67" s="20"/>
      <c r="S67" s="20"/>
      <c r="T67" s="19"/>
      <c r="U67" s="19"/>
      <c r="V67" s="19"/>
      <c r="W67" s="19"/>
      <c r="X67" s="19"/>
      <c r="Y67" s="19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ht="9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ht="9" customHeight="1">
      <c r="A69" s="19"/>
      <c r="B69" s="283" t="str">
        <f>'時間表'!P23</f>
        <v>C</v>
      </c>
      <c r="C69" s="284"/>
      <c r="D69" s="287" t="s">
        <v>79</v>
      </c>
      <c r="E69" s="287"/>
      <c r="F69" s="287"/>
      <c r="G69" s="288"/>
      <c r="H69" s="278" t="str">
        <f>B71</f>
        <v>富雄第三</v>
      </c>
      <c r="I69" s="278"/>
      <c r="J69" s="278"/>
      <c r="K69" s="278"/>
      <c r="L69" s="278"/>
      <c r="M69" s="278"/>
      <c r="N69" s="278" t="str">
        <f>B73</f>
        <v>泉</v>
      </c>
      <c r="O69" s="278"/>
      <c r="P69" s="278"/>
      <c r="Q69" s="278"/>
      <c r="R69" s="278"/>
      <c r="S69" s="278"/>
      <c r="T69" s="278" t="str">
        <f>B75</f>
        <v>滋賀ｾﾝﾄﾗﾙ</v>
      </c>
      <c r="U69" s="278"/>
      <c r="V69" s="278"/>
      <c r="W69" s="278"/>
      <c r="X69" s="278"/>
      <c r="Y69" s="278"/>
      <c r="Z69" s="271" t="s">
        <v>62</v>
      </c>
      <c r="AA69" s="271"/>
      <c r="AB69" s="271" t="s">
        <v>63</v>
      </c>
      <c r="AC69" s="271"/>
      <c r="AD69" s="271" t="s">
        <v>64</v>
      </c>
      <c r="AE69" s="271"/>
      <c r="AF69" s="271" t="s">
        <v>67</v>
      </c>
      <c r="AG69" s="271"/>
      <c r="AH69" s="271" t="s">
        <v>65</v>
      </c>
      <c r="AI69" s="271"/>
      <c r="AJ69" s="278" t="s">
        <v>69</v>
      </c>
      <c r="AK69" s="278"/>
      <c r="AL69" s="271" t="s">
        <v>66</v>
      </c>
      <c r="AM69" s="271"/>
      <c r="AN69" s="271" t="s">
        <v>68</v>
      </c>
      <c r="AO69" s="271"/>
      <c r="AP69" s="291" t="s">
        <v>83</v>
      </c>
      <c r="AQ69" s="292"/>
      <c r="AR69" s="310" t="s">
        <v>57</v>
      </c>
      <c r="AS69" s="310" t="s">
        <v>59</v>
      </c>
      <c r="AT69" s="310" t="s">
        <v>58</v>
      </c>
      <c r="AU69" s="189"/>
      <c r="AV69" s="310" t="s">
        <v>60</v>
      </c>
      <c r="AW69" s="19"/>
      <c r="AX69" s="19"/>
      <c r="AY69" s="19"/>
      <c r="AZ69" s="19"/>
      <c r="BA69" s="350" t="str">
        <f>B69</f>
        <v>C</v>
      </c>
      <c r="BB69" s="351"/>
      <c r="BC69" s="351" t="s">
        <v>88</v>
      </c>
      <c r="BD69" s="351"/>
      <c r="BE69" s="351"/>
      <c r="BF69" s="354"/>
      <c r="BG69" s="137"/>
      <c r="BH69" s="137"/>
      <c r="BI69" s="137"/>
      <c r="BJ69" s="137"/>
      <c r="BK69" s="137"/>
      <c r="BL69" s="137"/>
    </row>
    <row r="70" spans="1:64" ht="9" customHeight="1">
      <c r="A70" s="19"/>
      <c r="B70" s="285"/>
      <c r="C70" s="286"/>
      <c r="D70" s="289"/>
      <c r="E70" s="289"/>
      <c r="F70" s="289"/>
      <c r="G70" s="290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2"/>
      <c r="AA70" s="272"/>
      <c r="AB70" s="272"/>
      <c r="AC70" s="272"/>
      <c r="AD70" s="272"/>
      <c r="AE70" s="272"/>
      <c r="AF70" s="277"/>
      <c r="AG70" s="277"/>
      <c r="AH70" s="272"/>
      <c r="AI70" s="272"/>
      <c r="AJ70" s="278"/>
      <c r="AK70" s="278"/>
      <c r="AL70" s="272"/>
      <c r="AM70" s="272"/>
      <c r="AN70" s="277"/>
      <c r="AO70" s="277"/>
      <c r="AP70" s="293"/>
      <c r="AQ70" s="294"/>
      <c r="AR70" s="310"/>
      <c r="AS70" s="310"/>
      <c r="AT70" s="310"/>
      <c r="AU70" s="189"/>
      <c r="AV70" s="310"/>
      <c r="AW70" s="19"/>
      <c r="AX70" s="19"/>
      <c r="AY70" s="19"/>
      <c r="AZ70" s="19"/>
      <c r="BA70" s="352"/>
      <c r="BB70" s="353"/>
      <c r="BC70" s="353"/>
      <c r="BD70" s="353"/>
      <c r="BE70" s="353"/>
      <c r="BF70" s="355"/>
      <c r="BG70" s="137"/>
      <c r="BH70" s="137"/>
      <c r="BI70" s="137"/>
      <c r="BJ70" s="137"/>
      <c r="BK70" s="137"/>
      <c r="BL70" s="137"/>
    </row>
    <row r="71" spans="1:74" ht="9" customHeight="1">
      <c r="A71" s="263">
        <f>AN71</f>
        <v>3</v>
      </c>
      <c r="B71" s="264" t="str">
        <f>'時間表'!Q24</f>
        <v>富雄第三</v>
      </c>
      <c r="C71" s="265"/>
      <c r="D71" s="265"/>
      <c r="E71" s="265"/>
      <c r="F71" s="265"/>
      <c r="G71" s="266"/>
      <c r="H71" s="273"/>
      <c r="I71" s="273"/>
      <c r="J71" s="273"/>
      <c r="K71" s="273"/>
      <c r="L71" s="273"/>
      <c r="M71" s="274"/>
      <c r="N71" s="261" t="str">
        <f>IF(O71="","",IF(O71&gt;R71,"○",IF(O71&lt;R71,"●","△")))</f>
        <v>●</v>
      </c>
      <c r="O71" s="254">
        <f>IF('時間表'!D19="","",'時間表'!D19)</f>
        <v>0</v>
      </c>
      <c r="P71" s="254"/>
      <c r="Q71" s="34"/>
      <c r="R71" s="254">
        <f>IF('時間表'!F19="","",'時間表'!F19)</f>
        <v>2</v>
      </c>
      <c r="S71" s="254"/>
      <c r="T71" s="261" t="str">
        <f>IF(U71="","",IF(U71&gt;X71,"○",IF(U71&lt;X71,"●","△")))</f>
        <v>●</v>
      </c>
      <c r="U71" s="254">
        <f>IF('時間表'!D21="","",'時間表'!D21)</f>
        <v>0</v>
      </c>
      <c r="V71" s="254"/>
      <c r="W71" s="34"/>
      <c r="X71" s="254">
        <f>IF('時間表'!F21="","",'時間表'!F21)</f>
        <v>7</v>
      </c>
      <c r="Y71" s="254"/>
      <c r="Z71" s="267">
        <f>IF('時間表'!D19="","",COUNTIF($H71:$Y72,"○"))</f>
        <v>0</v>
      </c>
      <c r="AA71" s="268"/>
      <c r="AB71" s="267">
        <f>IF('時間表'!D19="","",COUNTIF($H71:$Y72,"△"))</f>
        <v>0</v>
      </c>
      <c r="AC71" s="268"/>
      <c r="AD71" s="267">
        <f>IF('時間表'!D19="","",COUNTIF($H71:$Y72,"●"))</f>
        <v>2</v>
      </c>
      <c r="AE71" s="268"/>
      <c r="AF71" s="260">
        <f>_xlfn.IFERROR(Z71*3+AB71,"")</f>
        <v>0</v>
      </c>
      <c r="AG71" s="260"/>
      <c r="AH71" s="256">
        <f>_xlfn.IFERROR(O71+U71,"")</f>
        <v>0</v>
      </c>
      <c r="AI71" s="257"/>
      <c r="AJ71" s="260">
        <f>_xlfn.IFERROR(R71+X71,"")</f>
        <v>9</v>
      </c>
      <c r="AK71" s="260"/>
      <c r="AL71" s="279">
        <f>_xlfn.IFERROR(AH71-AJ71,"")</f>
        <v>-9</v>
      </c>
      <c r="AM71" s="280"/>
      <c r="AN71" s="260">
        <f>IF('時間表'!D19="","",RANK(AV71,$AV$71:$AV$76,1))</f>
        <v>3</v>
      </c>
      <c r="AO71" s="260"/>
      <c r="AP71" s="311">
        <f>_xlfn.IFERROR(BA71,"")</f>
        <v>6</v>
      </c>
      <c r="AQ71" s="311"/>
      <c r="AR71" s="250">
        <f>_xlfn.IFERROR(100*RANK(AF71,AF71:AG76,0),"")</f>
        <v>300</v>
      </c>
      <c r="AS71" s="250">
        <f>_xlfn.IFERROR(10*RANK(AL71,AL71:AM76,0),"")</f>
        <v>30</v>
      </c>
      <c r="AT71" s="250">
        <f>_xlfn.IFERROR(RANK(AH71,AH71:AI76,0),"")</f>
        <v>3</v>
      </c>
      <c r="AU71" s="45"/>
      <c r="AV71" s="250">
        <f>_xlfn.IFERROR(SUM(AR71:AT72),"")</f>
        <v>333</v>
      </c>
      <c r="AW71" s="19"/>
      <c r="AX71" s="19"/>
      <c r="AY71" s="19"/>
      <c r="AZ71" s="19"/>
      <c r="BA71" s="278">
        <f>VLOOKUP(BB71,BU71:BV82,2,0)</f>
        <v>6</v>
      </c>
      <c r="BB71" s="278" t="str">
        <f>B71</f>
        <v>富雄第三</v>
      </c>
      <c r="BC71" s="278"/>
      <c r="BD71" s="278"/>
      <c r="BE71" s="278"/>
      <c r="BF71" s="278"/>
      <c r="BG71" s="39"/>
      <c r="BH71" s="39"/>
      <c r="BI71" s="39"/>
      <c r="BJ71" s="39"/>
      <c r="BK71" s="375" t="str">
        <f>G87</f>
        <v>泉</v>
      </c>
      <c r="BL71" s="375"/>
      <c r="BM71" s="375"/>
      <c r="BN71" s="375"/>
      <c r="BO71" s="376" t="str">
        <f>IF(L87&gt;L90,"1",IF(L87&lt;L90,"2","0"))</f>
        <v>1</v>
      </c>
      <c r="BP71" s="376"/>
      <c r="BQ71" s="375" t="str">
        <f>IF(N87&gt;N90,"1",IF(N87&lt;N90,"2","0"))</f>
        <v>0</v>
      </c>
      <c r="BR71" s="375"/>
      <c r="BS71" s="375">
        <f>BO71+BQ71</f>
        <v>1</v>
      </c>
      <c r="BT71" s="375"/>
      <c r="BU71" s="377" t="str">
        <f>BK71</f>
        <v>泉</v>
      </c>
      <c r="BV71" s="377">
        <f>BS71</f>
        <v>1</v>
      </c>
    </row>
    <row r="72" spans="1:74" ht="9" customHeight="1">
      <c r="A72" s="263"/>
      <c r="B72" s="264"/>
      <c r="C72" s="265"/>
      <c r="D72" s="265"/>
      <c r="E72" s="265"/>
      <c r="F72" s="265"/>
      <c r="G72" s="266"/>
      <c r="H72" s="275"/>
      <c r="I72" s="275"/>
      <c r="J72" s="275"/>
      <c r="K72" s="275"/>
      <c r="L72" s="275"/>
      <c r="M72" s="276"/>
      <c r="N72" s="262"/>
      <c r="O72" s="255"/>
      <c r="P72" s="255"/>
      <c r="Q72" s="35"/>
      <c r="R72" s="255"/>
      <c r="S72" s="255"/>
      <c r="T72" s="262"/>
      <c r="U72" s="255"/>
      <c r="V72" s="255"/>
      <c r="W72" s="35"/>
      <c r="X72" s="255"/>
      <c r="Y72" s="255"/>
      <c r="Z72" s="269"/>
      <c r="AA72" s="270"/>
      <c r="AB72" s="269"/>
      <c r="AC72" s="270"/>
      <c r="AD72" s="269"/>
      <c r="AE72" s="270"/>
      <c r="AF72" s="260"/>
      <c r="AG72" s="260"/>
      <c r="AH72" s="258"/>
      <c r="AI72" s="259"/>
      <c r="AJ72" s="260"/>
      <c r="AK72" s="260"/>
      <c r="AL72" s="279"/>
      <c r="AM72" s="280"/>
      <c r="AN72" s="260"/>
      <c r="AO72" s="260"/>
      <c r="AP72" s="311"/>
      <c r="AQ72" s="311"/>
      <c r="AR72" s="250"/>
      <c r="AS72" s="250"/>
      <c r="AT72" s="250"/>
      <c r="AU72" s="45"/>
      <c r="AV72" s="250"/>
      <c r="AW72" s="19"/>
      <c r="AX72" s="19"/>
      <c r="AY72" s="19"/>
      <c r="AZ72" s="19"/>
      <c r="BA72" s="278"/>
      <c r="BB72" s="278"/>
      <c r="BC72" s="278"/>
      <c r="BD72" s="278"/>
      <c r="BE72" s="278"/>
      <c r="BF72" s="278"/>
      <c r="BG72" s="39"/>
      <c r="BH72" s="39"/>
      <c r="BI72" s="39"/>
      <c r="BJ72" s="39"/>
      <c r="BK72" s="375"/>
      <c r="BL72" s="375"/>
      <c r="BM72" s="375"/>
      <c r="BN72" s="375"/>
      <c r="BO72" s="376"/>
      <c r="BP72" s="376"/>
      <c r="BQ72" s="375"/>
      <c r="BR72" s="375"/>
      <c r="BS72" s="375"/>
      <c r="BT72" s="375"/>
      <c r="BU72" s="377"/>
      <c r="BV72" s="377"/>
    </row>
    <row r="73" spans="1:74" ht="9" customHeight="1">
      <c r="A73" s="263">
        <f>AN73</f>
        <v>1</v>
      </c>
      <c r="B73" s="264" t="str">
        <f>'時間表'!Q25</f>
        <v>泉</v>
      </c>
      <c r="C73" s="265"/>
      <c r="D73" s="265"/>
      <c r="E73" s="265"/>
      <c r="F73" s="265"/>
      <c r="G73" s="266"/>
      <c r="H73" s="261" t="str">
        <f>IF(I73="","",IF(I73&gt;L73,"○",IF(I73&lt;L73,"●","△")))</f>
        <v>○</v>
      </c>
      <c r="I73" s="254">
        <f>R71</f>
        <v>2</v>
      </c>
      <c r="J73" s="254"/>
      <c r="K73" s="34"/>
      <c r="L73" s="254">
        <f>O71</f>
        <v>0</v>
      </c>
      <c r="M73" s="281"/>
      <c r="N73" s="251"/>
      <c r="O73" s="252"/>
      <c r="P73" s="252"/>
      <c r="Q73" s="252"/>
      <c r="R73" s="252"/>
      <c r="S73" s="252"/>
      <c r="T73" s="261" t="str">
        <f>IF(U73="","",IF(U73&gt;X73,"○",IF(U73&lt;X73,"●","△")))</f>
        <v>○</v>
      </c>
      <c r="U73" s="254">
        <f>IF('時間表'!D23="","",'時間表'!D23)</f>
        <v>1</v>
      </c>
      <c r="V73" s="254"/>
      <c r="W73" s="34"/>
      <c r="X73" s="254">
        <f>IF('時間表'!F23="","",'時間表'!F23)</f>
        <v>0</v>
      </c>
      <c r="Y73" s="254"/>
      <c r="Z73" s="267">
        <f>IF('時間表'!F19="","",COUNTIF($H73:$Y74,"○"))</f>
        <v>2</v>
      </c>
      <c r="AA73" s="268"/>
      <c r="AB73" s="267">
        <f>IF('時間表'!F19="","",COUNTIF($H73:$Y74,"△"))</f>
        <v>0</v>
      </c>
      <c r="AC73" s="268"/>
      <c r="AD73" s="267">
        <f>IF('時間表'!F19="","",COUNTIF($H73:$Y74,"●"))</f>
        <v>0</v>
      </c>
      <c r="AE73" s="268"/>
      <c r="AF73" s="260">
        <f>_xlfn.IFERROR(Z73*3+AB73,"")</f>
        <v>6</v>
      </c>
      <c r="AG73" s="260"/>
      <c r="AH73" s="256">
        <f>_xlfn.IFERROR(I73+U73,"")</f>
        <v>3</v>
      </c>
      <c r="AI73" s="257"/>
      <c r="AJ73" s="260">
        <f>_xlfn.IFERROR(L73+X73,"")</f>
        <v>0</v>
      </c>
      <c r="AK73" s="260"/>
      <c r="AL73" s="279">
        <f>_xlfn.IFERROR(AH73-AJ73,"")</f>
        <v>3</v>
      </c>
      <c r="AM73" s="280"/>
      <c r="AN73" s="260">
        <f>IF('時間表'!F19="","",RANK(AV73,$AV$71:$AV$76,1))</f>
        <v>1</v>
      </c>
      <c r="AO73" s="260"/>
      <c r="AP73" s="311">
        <f>_xlfn.IFERROR(BA73,"")</f>
        <v>1</v>
      </c>
      <c r="AQ73" s="311"/>
      <c r="AR73" s="250">
        <f>_xlfn.IFERROR(100*RANK(AF73,AF71:AG76,0),"")</f>
        <v>100</v>
      </c>
      <c r="AS73" s="250">
        <f>_xlfn.IFERROR(10*RANK(AL73,AL71:AM76,0),"")</f>
        <v>20</v>
      </c>
      <c r="AT73" s="250">
        <f>_xlfn.IFERROR(RANK(AH73,AH71:AI76,0),"")</f>
        <v>2</v>
      </c>
      <c r="AU73" s="45"/>
      <c r="AV73" s="250">
        <f>_xlfn.IFERROR(SUM(AR73:AT74),"")</f>
        <v>122</v>
      </c>
      <c r="AW73" s="19"/>
      <c r="AX73" s="19"/>
      <c r="AY73" s="19"/>
      <c r="AZ73" s="19"/>
      <c r="BA73" s="278">
        <f>VLOOKUP(BB73,BU71:BV82,2,0)</f>
        <v>1</v>
      </c>
      <c r="BB73" s="278" t="str">
        <f>B73</f>
        <v>泉</v>
      </c>
      <c r="BC73" s="278"/>
      <c r="BD73" s="278"/>
      <c r="BE73" s="278"/>
      <c r="BF73" s="278"/>
      <c r="BG73" s="39"/>
      <c r="BH73" s="39"/>
      <c r="BI73" s="39"/>
      <c r="BJ73" s="39"/>
      <c r="BK73" s="375" t="str">
        <f>G90</f>
        <v>奈良FCjr</v>
      </c>
      <c r="BL73" s="375"/>
      <c r="BM73" s="375"/>
      <c r="BN73" s="375"/>
      <c r="BO73" s="376" t="str">
        <f>IF(L87&gt;L90,"2",IF(L87&lt;L90,"1","0"))</f>
        <v>2</v>
      </c>
      <c r="BP73" s="376"/>
      <c r="BQ73" s="375" t="str">
        <f>IF(N87&gt;N90,"2",IF(N87&lt;N90,"1","0"))</f>
        <v>0</v>
      </c>
      <c r="BR73" s="375"/>
      <c r="BS73" s="375">
        <f>BO73+BQ73</f>
        <v>2</v>
      </c>
      <c r="BT73" s="375"/>
      <c r="BU73" s="377" t="str">
        <f>BK73</f>
        <v>奈良FCjr</v>
      </c>
      <c r="BV73" s="377">
        <f>BS73</f>
        <v>2</v>
      </c>
    </row>
    <row r="74" spans="1:74" ht="9" customHeight="1">
      <c r="A74" s="263"/>
      <c r="B74" s="264"/>
      <c r="C74" s="265"/>
      <c r="D74" s="265"/>
      <c r="E74" s="265"/>
      <c r="F74" s="265"/>
      <c r="G74" s="266"/>
      <c r="H74" s="262"/>
      <c r="I74" s="255"/>
      <c r="J74" s="255"/>
      <c r="K74" s="35"/>
      <c r="L74" s="255"/>
      <c r="M74" s="282"/>
      <c r="N74" s="251"/>
      <c r="O74" s="252"/>
      <c r="P74" s="252"/>
      <c r="Q74" s="252"/>
      <c r="R74" s="252"/>
      <c r="S74" s="252"/>
      <c r="T74" s="262"/>
      <c r="U74" s="255"/>
      <c r="V74" s="255"/>
      <c r="W74" s="35"/>
      <c r="X74" s="255"/>
      <c r="Y74" s="255"/>
      <c r="Z74" s="269"/>
      <c r="AA74" s="270"/>
      <c r="AB74" s="269"/>
      <c r="AC74" s="270"/>
      <c r="AD74" s="269"/>
      <c r="AE74" s="270"/>
      <c r="AF74" s="260"/>
      <c r="AG74" s="260"/>
      <c r="AH74" s="258"/>
      <c r="AI74" s="259"/>
      <c r="AJ74" s="260"/>
      <c r="AK74" s="260"/>
      <c r="AL74" s="279"/>
      <c r="AM74" s="280"/>
      <c r="AN74" s="260"/>
      <c r="AO74" s="260"/>
      <c r="AP74" s="311"/>
      <c r="AQ74" s="311"/>
      <c r="AR74" s="250"/>
      <c r="AS74" s="250"/>
      <c r="AT74" s="250"/>
      <c r="AU74" s="45"/>
      <c r="AV74" s="250"/>
      <c r="AW74" s="19"/>
      <c r="AX74" s="19"/>
      <c r="AY74" s="19"/>
      <c r="AZ74" s="19"/>
      <c r="BA74" s="278"/>
      <c r="BB74" s="278"/>
      <c r="BC74" s="278"/>
      <c r="BD74" s="278"/>
      <c r="BE74" s="278"/>
      <c r="BF74" s="278"/>
      <c r="BG74" s="39"/>
      <c r="BH74" s="39"/>
      <c r="BI74" s="39"/>
      <c r="BJ74" s="39"/>
      <c r="BK74" s="375"/>
      <c r="BL74" s="375"/>
      <c r="BM74" s="375"/>
      <c r="BN74" s="375"/>
      <c r="BO74" s="376"/>
      <c r="BP74" s="376"/>
      <c r="BQ74" s="375"/>
      <c r="BR74" s="375"/>
      <c r="BS74" s="375"/>
      <c r="BT74" s="375"/>
      <c r="BU74" s="377"/>
      <c r="BV74" s="377"/>
    </row>
    <row r="75" spans="1:74" ht="9" customHeight="1">
      <c r="A75" s="263">
        <f>AN75</f>
        <v>2</v>
      </c>
      <c r="B75" s="264" t="str">
        <f>'時間表'!Q27</f>
        <v>滋賀ｾﾝﾄﾗﾙ</v>
      </c>
      <c r="C75" s="265"/>
      <c r="D75" s="265"/>
      <c r="E75" s="265"/>
      <c r="F75" s="265"/>
      <c r="G75" s="266"/>
      <c r="H75" s="261" t="str">
        <f>IF(I75="","",IF(I75&gt;L75,"○",IF(I75&lt;L75,"●","△")))</f>
        <v>○</v>
      </c>
      <c r="I75" s="254">
        <f>X71</f>
        <v>7</v>
      </c>
      <c r="J75" s="254"/>
      <c r="K75" s="34"/>
      <c r="L75" s="254">
        <f>U71</f>
        <v>0</v>
      </c>
      <c r="M75" s="281"/>
      <c r="N75" s="261" t="str">
        <f>IF(O75="","",IF(O75&gt;R75,"○",IF(O75&lt;R75,"●","△")))</f>
        <v>●</v>
      </c>
      <c r="O75" s="254">
        <f>X73</f>
        <v>0</v>
      </c>
      <c r="P75" s="254"/>
      <c r="Q75" s="34"/>
      <c r="R75" s="254">
        <f>U73</f>
        <v>1</v>
      </c>
      <c r="S75" s="281"/>
      <c r="T75" s="251"/>
      <c r="U75" s="252"/>
      <c r="V75" s="252"/>
      <c r="W75" s="252"/>
      <c r="X75" s="252"/>
      <c r="Y75" s="253"/>
      <c r="Z75" s="267">
        <f>IF('時間表'!F21="","",COUNTIF($H75:$Y76,"○"))</f>
        <v>1</v>
      </c>
      <c r="AA75" s="268"/>
      <c r="AB75" s="267">
        <f>IF('時間表'!F21="","",COUNTIF($H75:$Y76,"△"))</f>
        <v>0</v>
      </c>
      <c r="AC75" s="268"/>
      <c r="AD75" s="267">
        <f>IF('時間表'!F21="","",COUNTIF($H75:$Y76,"●"))</f>
        <v>1</v>
      </c>
      <c r="AE75" s="268"/>
      <c r="AF75" s="260">
        <f>_xlfn.IFERROR(Z75*3+AB75,"")</f>
        <v>3</v>
      </c>
      <c r="AG75" s="260"/>
      <c r="AH75" s="256">
        <f>_xlfn.IFERROR(O75+I75,"")</f>
        <v>7</v>
      </c>
      <c r="AI75" s="257"/>
      <c r="AJ75" s="260">
        <f>_xlfn.IFERROR(R75+L75,"")</f>
        <v>1</v>
      </c>
      <c r="AK75" s="260"/>
      <c r="AL75" s="279">
        <f>_xlfn.IFERROR(AH75-AJ75,"")</f>
        <v>6</v>
      </c>
      <c r="AM75" s="280"/>
      <c r="AN75" s="260">
        <f>IF('時間表'!F21="","",RANK(AV75,$AV$71:$AV$76,1))</f>
        <v>2</v>
      </c>
      <c r="AO75" s="260"/>
      <c r="AP75" s="311">
        <f>_xlfn.IFERROR(BA75,"")</f>
        <v>4</v>
      </c>
      <c r="AQ75" s="311"/>
      <c r="AR75" s="250">
        <f>_xlfn.IFERROR(100*RANK(AF75,AF71:AG76,0),"")</f>
        <v>200</v>
      </c>
      <c r="AS75" s="250">
        <f>_xlfn.IFERROR(10*RANK(AL75,AL71:AM76,0),"")</f>
        <v>10</v>
      </c>
      <c r="AT75" s="250">
        <f>_xlfn.IFERROR(RANK(AH75,AH71:AI76,0),"")</f>
        <v>1</v>
      </c>
      <c r="AU75" s="45"/>
      <c r="AV75" s="250">
        <f>_xlfn.IFERROR(SUM(AR75:AT76),"")</f>
        <v>211</v>
      </c>
      <c r="AW75" s="19"/>
      <c r="AX75" s="19"/>
      <c r="AY75" s="19"/>
      <c r="AZ75" s="19"/>
      <c r="BA75" s="278">
        <f>VLOOKUP(BB75,BU71:BV82,2,0)</f>
        <v>4</v>
      </c>
      <c r="BB75" s="278" t="str">
        <f>B75</f>
        <v>滋賀ｾﾝﾄﾗﾙ</v>
      </c>
      <c r="BC75" s="278"/>
      <c r="BD75" s="278"/>
      <c r="BE75" s="278"/>
      <c r="BF75" s="278"/>
      <c r="BG75" s="39"/>
      <c r="BH75" s="39"/>
      <c r="BI75" s="39"/>
      <c r="BJ75" s="39"/>
      <c r="BK75" s="375" t="str">
        <f>U87</f>
        <v>滋賀ｾﾝﾄﾗﾙ</v>
      </c>
      <c r="BL75" s="375"/>
      <c r="BM75" s="375"/>
      <c r="BN75" s="375"/>
      <c r="BO75" s="376" t="str">
        <f>IF(Z87&gt;Z90,"3",IF(Z87&lt;Z90,"4","0"))</f>
        <v>4</v>
      </c>
      <c r="BP75" s="376"/>
      <c r="BQ75" s="375" t="str">
        <f>IF(AB87&gt;AB90,"3",IF(AB87&lt;AB90,"4","0"))</f>
        <v>0</v>
      </c>
      <c r="BR75" s="375"/>
      <c r="BS75" s="375">
        <f>BO75+BQ75</f>
        <v>4</v>
      </c>
      <c r="BT75" s="375"/>
      <c r="BU75" s="377" t="str">
        <f>BK75</f>
        <v>滋賀ｾﾝﾄﾗﾙ</v>
      </c>
      <c r="BV75" s="377">
        <f>BS75</f>
        <v>4</v>
      </c>
    </row>
    <row r="76" spans="1:74" ht="9" customHeight="1">
      <c r="A76" s="263"/>
      <c r="B76" s="264"/>
      <c r="C76" s="265"/>
      <c r="D76" s="265"/>
      <c r="E76" s="265"/>
      <c r="F76" s="265"/>
      <c r="G76" s="266"/>
      <c r="H76" s="262"/>
      <c r="I76" s="255"/>
      <c r="J76" s="255"/>
      <c r="K76" s="35"/>
      <c r="L76" s="255"/>
      <c r="M76" s="282"/>
      <c r="N76" s="262"/>
      <c r="O76" s="255"/>
      <c r="P76" s="255"/>
      <c r="Q76" s="35"/>
      <c r="R76" s="255"/>
      <c r="S76" s="282"/>
      <c r="T76" s="251"/>
      <c r="U76" s="252"/>
      <c r="V76" s="252"/>
      <c r="W76" s="252"/>
      <c r="X76" s="252"/>
      <c r="Y76" s="253"/>
      <c r="Z76" s="269"/>
      <c r="AA76" s="270"/>
      <c r="AB76" s="269"/>
      <c r="AC76" s="270"/>
      <c r="AD76" s="269"/>
      <c r="AE76" s="270"/>
      <c r="AF76" s="260"/>
      <c r="AG76" s="260"/>
      <c r="AH76" s="258"/>
      <c r="AI76" s="259"/>
      <c r="AJ76" s="260"/>
      <c r="AK76" s="260"/>
      <c r="AL76" s="279"/>
      <c r="AM76" s="280"/>
      <c r="AN76" s="260"/>
      <c r="AO76" s="260"/>
      <c r="AP76" s="311"/>
      <c r="AQ76" s="311"/>
      <c r="AR76" s="250"/>
      <c r="AS76" s="250"/>
      <c r="AT76" s="250"/>
      <c r="AU76" s="45"/>
      <c r="AV76" s="250"/>
      <c r="AW76" s="19"/>
      <c r="AX76" s="19"/>
      <c r="AY76" s="19"/>
      <c r="AZ76" s="19"/>
      <c r="BA76" s="278"/>
      <c r="BB76" s="278"/>
      <c r="BC76" s="278"/>
      <c r="BD76" s="278"/>
      <c r="BE76" s="278"/>
      <c r="BF76" s="278"/>
      <c r="BG76" s="39"/>
      <c r="BH76" s="39"/>
      <c r="BI76" s="39"/>
      <c r="BJ76" s="39"/>
      <c r="BK76" s="375"/>
      <c r="BL76" s="375"/>
      <c r="BM76" s="375"/>
      <c r="BN76" s="375"/>
      <c r="BO76" s="376"/>
      <c r="BP76" s="376"/>
      <c r="BQ76" s="375"/>
      <c r="BR76" s="375"/>
      <c r="BS76" s="375"/>
      <c r="BT76" s="375"/>
      <c r="BU76" s="377"/>
      <c r="BV76" s="377"/>
    </row>
    <row r="77" spans="1:74" ht="9" customHeight="1">
      <c r="A77" s="19"/>
      <c r="B77" s="22"/>
      <c r="C77" s="22"/>
      <c r="D77" s="22"/>
      <c r="E77" s="22"/>
      <c r="F77" s="22"/>
      <c r="G77" s="22"/>
      <c r="H77" s="22"/>
      <c r="I77" s="22"/>
      <c r="J77" s="23"/>
      <c r="K77" s="22"/>
      <c r="L77" s="22"/>
      <c r="M77" s="22"/>
      <c r="N77" s="22"/>
      <c r="O77" s="22"/>
      <c r="P77" s="23"/>
      <c r="Q77" s="22"/>
      <c r="R77" s="22"/>
      <c r="S77" s="22"/>
      <c r="T77" s="22"/>
      <c r="U77" s="22"/>
      <c r="V77" s="23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4"/>
      <c r="AI77" s="24"/>
      <c r="AJ77" s="24"/>
      <c r="AK77" s="24"/>
      <c r="AL77" s="22"/>
      <c r="AM77" s="22"/>
      <c r="AN77" s="22"/>
      <c r="AO77" s="22"/>
      <c r="AP77" s="19"/>
      <c r="AQ77" s="19"/>
      <c r="AR77" s="25"/>
      <c r="AS77" s="25"/>
      <c r="AT77" s="25"/>
      <c r="AU77" s="25"/>
      <c r="AV77" s="25"/>
      <c r="AW77" s="19"/>
      <c r="AX77" s="19"/>
      <c r="AY77" s="19"/>
      <c r="AZ77" s="19"/>
      <c r="BA77" s="278">
        <f>VLOOKUP(BB77,BU71:BV82,2,0)</f>
        <v>2</v>
      </c>
      <c r="BB77" s="278" t="str">
        <f>B80</f>
        <v>奈良FCjr</v>
      </c>
      <c r="BC77" s="278"/>
      <c r="BD77" s="278"/>
      <c r="BE77" s="278"/>
      <c r="BF77" s="278"/>
      <c r="BG77" s="39"/>
      <c r="BH77" s="39"/>
      <c r="BI77" s="39"/>
      <c r="BJ77" s="39"/>
      <c r="BK77" s="375" t="str">
        <f>U90</f>
        <v>門真北風</v>
      </c>
      <c r="BL77" s="375"/>
      <c r="BM77" s="375"/>
      <c r="BN77" s="375"/>
      <c r="BO77" s="376" t="str">
        <f>IF(Z87&gt;Z90,"4",IF(Z87&lt;Z90,"3","0"))</f>
        <v>3</v>
      </c>
      <c r="BP77" s="376"/>
      <c r="BQ77" s="375" t="str">
        <f>IF(AB87&gt;AB90,"4",IF(AB87&lt;AB90,"3","0"))</f>
        <v>0</v>
      </c>
      <c r="BR77" s="375"/>
      <c r="BS77" s="375">
        <f>BO77+BQ77</f>
        <v>3</v>
      </c>
      <c r="BT77" s="375"/>
      <c r="BU77" s="377" t="str">
        <f>BK77</f>
        <v>門真北風</v>
      </c>
      <c r="BV77" s="377">
        <f>BS77</f>
        <v>3</v>
      </c>
    </row>
    <row r="78" spans="1:74" ht="9" customHeight="1">
      <c r="A78" s="19"/>
      <c r="B78" s="283" t="str">
        <f>B69</f>
        <v>C</v>
      </c>
      <c r="C78" s="284"/>
      <c r="D78" s="287" t="s">
        <v>80</v>
      </c>
      <c r="E78" s="287"/>
      <c r="F78" s="287"/>
      <c r="G78" s="288"/>
      <c r="H78" s="278" t="str">
        <f>B80</f>
        <v>奈良FCjr</v>
      </c>
      <c r="I78" s="278"/>
      <c r="J78" s="278"/>
      <c r="K78" s="278"/>
      <c r="L78" s="278"/>
      <c r="M78" s="278"/>
      <c r="N78" s="278" t="str">
        <f>B82</f>
        <v>門真北風</v>
      </c>
      <c r="O78" s="278"/>
      <c r="P78" s="278"/>
      <c r="Q78" s="278"/>
      <c r="R78" s="278"/>
      <c r="S78" s="278"/>
      <c r="T78" s="278" t="str">
        <f>B84</f>
        <v>柏原キッズ</v>
      </c>
      <c r="U78" s="278"/>
      <c r="V78" s="278"/>
      <c r="W78" s="278"/>
      <c r="X78" s="278"/>
      <c r="Y78" s="278"/>
      <c r="Z78" s="271" t="s">
        <v>62</v>
      </c>
      <c r="AA78" s="271"/>
      <c r="AB78" s="271" t="s">
        <v>63</v>
      </c>
      <c r="AC78" s="271"/>
      <c r="AD78" s="271" t="s">
        <v>64</v>
      </c>
      <c r="AE78" s="271"/>
      <c r="AF78" s="271" t="s">
        <v>67</v>
      </c>
      <c r="AG78" s="271"/>
      <c r="AH78" s="271" t="s">
        <v>65</v>
      </c>
      <c r="AI78" s="271"/>
      <c r="AJ78" s="278" t="s">
        <v>69</v>
      </c>
      <c r="AK78" s="278"/>
      <c r="AL78" s="271" t="s">
        <v>66</v>
      </c>
      <c r="AM78" s="271"/>
      <c r="AN78" s="271" t="s">
        <v>68</v>
      </c>
      <c r="AO78" s="271"/>
      <c r="AP78" s="291" t="s">
        <v>83</v>
      </c>
      <c r="AQ78" s="292"/>
      <c r="AR78" s="310" t="s">
        <v>57</v>
      </c>
      <c r="AS78" s="310" t="s">
        <v>59</v>
      </c>
      <c r="AT78" s="310" t="s">
        <v>58</v>
      </c>
      <c r="AU78" s="189"/>
      <c r="AV78" s="310" t="s">
        <v>60</v>
      </c>
      <c r="AW78" s="19"/>
      <c r="AX78" s="19"/>
      <c r="AY78" s="19"/>
      <c r="AZ78" s="19"/>
      <c r="BA78" s="278"/>
      <c r="BB78" s="278"/>
      <c r="BC78" s="278"/>
      <c r="BD78" s="278"/>
      <c r="BE78" s="278"/>
      <c r="BF78" s="278"/>
      <c r="BG78" s="39"/>
      <c r="BH78" s="39"/>
      <c r="BI78" s="39"/>
      <c r="BJ78" s="39"/>
      <c r="BK78" s="375"/>
      <c r="BL78" s="375"/>
      <c r="BM78" s="375"/>
      <c r="BN78" s="375"/>
      <c r="BO78" s="376"/>
      <c r="BP78" s="376"/>
      <c r="BQ78" s="375"/>
      <c r="BR78" s="375"/>
      <c r="BS78" s="375"/>
      <c r="BT78" s="375"/>
      <c r="BU78" s="377"/>
      <c r="BV78" s="377"/>
    </row>
    <row r="79" spans="1:74" ht="9" customHeight="1">
      <c r="A79" s="19"/>
      <c r="B79" s="285"/>
      <c r="C79" s="286"/>
      <c r="D79" s="289"/>
      <c r="E79" s="289"/>
      <c r="F79" s="289"/>
      <c r="G79" s="290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2"/>
      <c r="AA79" s="272"/>
      <c r="AB79" s="272"/>
      <c r="AC79" s="272"/>
      <c r="AD79" s="272"/>
      <c r="AE79" s="272"/>
      <c r="AF79" s="277"/>
      <c r="AG79" s="277"/>
      <c r="AH79" s="272"/>
      <c r="AI79" s="272"/>
      <c r="AJ79" s="278"/>
      <c r="AK79" s="278"/>
      <c r="AL79" s="272"/>
      <c r="AM79" s="272"/>
      <c r="AN79" s="277"/>
      <c r="AO79" s="277"/>
      <c r="AP79" s="293"/>
      <c r="AQ79" s="294"/>
      <c r="AR79" s="310"/>
      <c r="AS79" s="310"/>
      <c r="AT79" s="310"/>
      <c r="AU79" s="189"/>
      <c r="AV79" s="310"/>
      <c r="AW79" s="19"/>
      <c r="AX79" s="19"/>
      <c r="AY79" s="19"/>
      <c r="AZ79" s="19"/>
      <c r="BA79" s="278">
        <f>VLOOKUP(BB79,BU71:BV82,2,0)</f>
        <v>3</v>
      </c>
      <c r="BB79" s="278" t="str">
        <f>B82</f>
        <v>門真北風</v>
      </c>
      <c r="BC79" s="278"/>
      <c r="BD79" s="278"/>
      <c r="BE79" s="278"/>
      <c r="BF79" s="278"/>
      <c r="BG79" s="39"/>
      <c r="BH79" s="39"/>
      <c r="BI79" s="39"/>
      <c r="BJ79" s="39"/>
      <c r="BK79" s="375" t="str">
        <f>AI87</f>
        <v>富雄第三</v>
      </c>
      <c r="BL79" s="375"/>
      <c r="BM79" s="375"/>
      <c r="BN79" s="375"/>
      <c r="BO79" s="376" t="str">
        <f>IF(AN87&gt;AN90,"5",IF(AN87&lt;AN90,"6","0"))</f>
        <v>0</v>
      </c>
      <c r="BP79" s="376"/>
      <c r="BQ79" s="375" t="str">
        <f>IF(AP87&gt;AP90,"5",IF(AP87&lt;AP90,"6","0"))</f>
        <v>6</v>
      </c>
      <c r="BR79" s="375"/>
      <c r="BS79" s="375">
        <f>BO79+BQ79</f>
        <v>6</v>
      </c>
      <c r="BT79" s="375"/>
      <c r="BU79" s="377" t="str">
        <f>BK79</f>
        <v>富雄第三</v>
      </c>
      <c r="BV79" s="377">
        <f>BS79</f>
        <v>6</v>
      </c>
    </row>
    <row r="80" spans="1:74" ht="9" customHeight="1">
      <c r="A80" s="263">
        <f>AN80</f>
        <v>1</v>
      </c>
      <c r="B80" s="264" t="str">
        <f>'時間表'!Q29</f>
        <v>奈良FCjr</v>
      </c>
      <c r="C80" s="265"/>
      <c r="D80" s="265"/>
      <c r="E80" s="265"/>
      <c r="F80" s="265"/>
      <c r="G80" s="266"/>
      <c r="H80" s="273"/>
      <c r="I80" s="273"/>
      <c r="J80" s="273"/>
      <c r="K80" s="273"/>
      <c r="L80" s="273"/>
      <c r="M80" s="274"/>
      <c r="N80" s="49" t="str">
        <f>IF(O80="","",IF(O80&gt;R80,"○",IF(O80&lt;R80,"●","△")))</f>
        <v>○</v>
      </c>
      <c r="O80" s="254">
        <f>IF('時間表'!D20="","",'時間表'!D20)</f>
        <v>1</v>
      </c>
      <c r="P80" s="254"/>
      <c r="Q80" s="34"/>
      <c r="R80" s="254">
        <f>IF('時間表'!F20="","",'時間表'!F20)</f>
        <v>0</v>
      </c>
      <c r="S80" s="254"/>
      <c r="T80" s="261" t="str">
        <f>IF(U80="","",IF(U80&gt;X80,"○",IF(U80&lt;X80,"●","△")))</f>
        <v>○</v>
      </c>
      <c r="U80" s="254">
        <f>IF('時間表'!D22="","",'時間表'!D22)</f>
        <v>1</v>
      </c>
      <c r="V80" s="254"/>
      <c r="W80" s="34"/>
      <c r="X80" s="254">
        <f>IF('時間表'!F22="","",'時間表'!F22)</f>
        <v>0</v>
      </c>
      <c r="Y80" s="254"/>
      <c r="Z80" s="267">
        <f>IF('時間表'!D20="","",COUNTIF($H80:$Y81,"○"))</f>
        <v>2</v>
      </c>
      <c r="AA80" s="268"/>
      <c r="AB80" s="267">
        <f>IF('時間表'!D20="","",COUNTIF($H80:$Y81,"△"))</f>
        <v>0</v>
      </c>
      <c r="AC80" s="268"/>
      <c r="AD80" s="267">
        <f>IF('時間表'!D20="","",COUNTIF($H80:$Y81,"●"))</f>
        <v>0</v>
      </c>
      <c r="AE80" s="268"/>
      <c r="AF80" s="260">
        <f>_xlfn.IFERROR(Z80*3+AB80,"")</f>
        <v>6</v>
      </c>
      <c r="AG80" s="260"/>
      <c r="AH80" s="256">
        <f>_xlfn.IFERROR(O80+U80,"")</f>
        <v>2</v>
      </c>
      <c r="AI80" s="257"/>
      <c r="AJ80" s="260">
        <f>_xlfn.IFERROR(R80+X80,"")</f>
        <v>0</v>
      </c>
      <c r="AK80" s="260"/>
      <c r="AL80" s="279">
        <f>_xlfn.IFERROR(AH80-AJ80,"")</f>
        <v>2</v>
      </c>
      <c r="AM80" s="280"/>
      <c r="AN80" s="260">
        <f>IF('時間表'!D20="","",RANK(AV80,$AV$80:$AV$85,1))</f>
        <v>1</v>
      </c>
      <c r="AO80" s="260"/>
      <c r="AP80" s="311">
        <f>_xlfn.IFERROR(BA77,"")</f>
        <v>2</v>
      </c>
      <c r="AQ80" s="311"/>
      <c r="AR80" s="250">
        <f>_xlfn.IFERROR(100*RANK(AF80,AF80:AG85,0),"")</f>
        <v>100</v>
      </c>
      <c r="AS80" s="250">
        <f>_xlfn.IFERROR(10*RANK(AL80,AL80:AM85,0),"")</f>
        <v>10</v>
      </c>
      <c r="AT80" s="250">
        <f>_xlfn.IFERROR(RANK(AH80,AH80:AI85,0),"")</f>
        <v>1</v>
      </c>
      <c r="AU80" s="250"/>
      <c r="AV80" s="250">
        <f>_xlfn.IFERROR(SUM(AR80:AT81),"")</f>
        <v>111</v>
      </c>
      <c r="AW80" s="19"/>
      <c r="AX80" s="19"/>
      <c r="AY80" s="19"/>
      <c r="AZ80" s="19"/>
      <c r="BA80" s="278"/>
      <c r="BB80" s="278"/>
      <c r="BC80" s="278"/>
      <c r="BD80" s="278"/>
      <c r="BE80" s="278"/>
      <c r="BF80" s="278"/>
      <c r="BG80" s="39"/>
      <c r="BH80" s="39"/>
      <c r="BI80" s="39"/>
      <c r="BJ80" s="39"/>
      <c r="BK80" s="375"/>
      <c r="BL80" s="375"/>
      <c r="BM80" s="375"/>
      <c r="BN80" s="375"/>
      <c r="BO80" s="376"/>
      <c r="BP80" s="376"/>
      <c r="BQ80" s="375"/>
      <c r="BR80" s="375"/>
      <c r="BS80" s="375"/>
      <c r="BT80" s="375"/>
      <c r="BU80" s="377"/>
      <c r="BV80" s="377"/>
    </row>
    <row r="81" spans="1:74" ht="9" customHeight="1">
      <c r="A81" s="263"/>
      <c r="B81" s="264"/>
      <c r="C81" s="265"/>
      <c r="D81" s="265"/>
      <c r="E81" s="265"/>
      <c r="F81" s="265"/>
      <c r="G81" s="266"/>
      <c r="H81" s="275"/>
      <c r="I81" s="275"/>
      <c r="J81" s="275"/>
      <c r="K81" s="275"/>
      <c r="L81" s="275"/>
      <c r="M81" s="276"/>
      <c r="N81" s="36"/>
      <c r="O81" s="255"/>
      <c r="P81" s="255"/>
      <c r="Q81" s="35"/>
      <c r="R81" s="255"/>
      <c r="S81" s="255"/>
      <c r="T81" s="262"/>
      <c r="U81" s="255"/>
      <c r="V81" s="255"/>
      <c r="W81" s="35"/>
      <c r="X81" s="255"/>
      <c r="Y81" s="255"/>
      <c r="Z81" s="269"/>
      <c r="AA81" s="270"/>
      <c r="AB81" s="269"/>
      <c r="AC81" s="270"/>
      <c r="AD81" s="269"/>
      <c r="AE81" s="270"/>
      <c r="AF81" s="260"/>
      <c r="AG81" s="260"/>
      <c r="AH81" s="258"/>
      <c r="AI81" s="259"/>
      <c r="AJ81" s="260"/>
      <c r="AK81" s="260"/>
      <c r="AL81" s="279"/>
      <c r="AM81" s="280"/>
      <c r="AN81" s="260"/>
      <c r="AO81" s="260"/>
      <c r="AP81" s="311"/>
      <c r="AQ81" s="311"/>
      <c r="AR81" s="250"/>
      <c r="AS81" s="250"/>
      <c r="AT81" s="250"/>
      <c r="AU81" s="250"/>
      <c r="AV81" s="250"/>
      <c r="AW81" s="19"/>
      <c r="AX81" s="19"/>
      <c r="AY81" s="19"/>
      <c r="AZ81" s="19"/>
      <c r="BA81" s="278">
        <f>VLOOKUP(BB81,BU71:BV82,2,0)</f>
        <v>5</v>
      </c>
      <c r="BB81" s="278" t="str">
        <f>B84</f>
        <v>柏原キッズ</v>
      </c>
      <c r="BC81" s="278"/>
      <c r="BD81" s="278"/>
      <c r="BE81" s="278"/>
      <c r="BF81" s="278"/>
      <c r="BG81" s="39"/>
      <c r="BH81" s="39"/>
      <c r="BI81" s="39"/>
      <c r="BJ81" s="39"/>
      <c r="BK81" s="375" t="str">
        <f>AI90</f>
        <v>柏原キッズ</v>
      </c>
      <c r="BL81" s="375"/>
      <c r="BM81" s="375"/>
      <c r="BN81" s="375"/>
      <c r="BO81" s="376" t="str">
        <f>IF(AN87&gt;AN90,"6",IF(AN87&lt;AN90,"5","0"))</f>
        <v>0</v>
      </c>
      <c r="BP81" s="376"/>
      <c r="BQ81" s="375" t="str">
        <f>IF(AP87&gt;AP90,"6",IF(AP87&lt;AP90,"5","0"))</f>
        <v>5</v>
      </c>
      <c r="BR81" s="375"/>
      <c r="BS81" s="375">
        <f>BO81+BQ81</f>
        <v>5</v>
      </c>
      <c r="BT81" s="375"/>
      <c r="BU81" s="377" t="str">
        <f>BK81</f>
        <v>柏原キッズ</v>
      </c>
      <c r="BV81" s="377">
        <f>BS81</f>
        <v>5</v>
      </c>
    </row>
    <row r="82" spans="1:74" ht="9" customHeight="1">
      <c r="A82" s="263">
        <f>AN82</f>
        <v>2</v>
      </c>
      <c r="B82" s="264" t="str">
        <f>'時間表'!Q31</f>
        <v>門真北風</v>
      </c>
      <c r="C82" s="265"/>
      <c r="D82" s="265"/>
      <c r="E82" s="265"/>
      <c r="F82" s="265"/>
      <c r="G82" s="266"/>
      <c r="H82" s="261" t="str">
        <f>IF(I82="","",IF(I82&gt;L82,"○",IF(I82&lt;L82,"●","△")))</f>
        <v>●</v>
      </c>
      <c r="I82" s="254">
        <f>R80</f>
        <v>0</v>
      </c>
      <c r="J82" s="254"/>
      <c r="K82" s="34"/>
      <c r="L82" s="254">
        <f>O80</f>
        <v>1</v>
      </c>
      <c r="M82" s="281"/>
      <c r="N82" s="251"/>
      <c r="O82" s="252"/>
      <c r="P82" s="252"/>
      <c r="Q82" s="252"/>
      <c r="R82" s="252"/>
      <c r="S82" s="252"/>
      <c r="T82" s="261" t="str">
        <f>IF(U82="","",IF(U82&gt;X82,"○",IF(U82&lt;X82,"●","△")))</f>
        <v>△</v>
      </c>
      <c r="U82" s="254">
        <f>IF('時間表'!D24="","",'時間表'!D24)</f>
        <v>1</v>
      </c>
      <c r="V82" s="254"/>
      <c r="W82" s="34"/>
      <c r="X82" s="254">
        <f>IF('時間表'!F24="","",'時間表'!F24)</f>
        <v>1</v>
      </c>
      <c r="Y82" s="254"/>
      <c r="Z82" s="267">
        <f>IF('時間表'!F20="","",COUNTIF($H82:$Y83,"○"))</f>
        <v>0</v>
      </c>
      <c r="AA82" s="268"/>
      <c r="AB82" s="267">
        <f>IF('時間表'!F20="","",COUNTIF($H82:$Y83,"△"))</f>
        <v>1</v>
      </c>
      <c r="AC82" s="268"/>
      <c r="AD82" s="267">
        <f>IF('時間表'!F20="","",COUNTIF($H82:$Y83,"●"))</f>
        <v>1</v>
      </c>
      <c r="AE82" s="268"/>
      <c r="AF82" s="260">
        <f>_xlfn.IFERROR(Z82*3+AB82,"")</f>
        <v>1</v>
      </c>
      <c r="AG82" s="260"/>
      <c r="AH82" s="256">
        <f>_xlfn.IFERROR(I82+U82,"")</f>
        <v>1</v>
      </c>
      <c r="AI82" s="257"/>
      <c r="AJ82" s="260">
        <f>_xlfn.IFERROR(L82+X82,"")</f>
        <v>2</v>
      </c>
      <c r="AK82" s="260"/>
      <c r="AL82" s="279">
        <f>_xlfn.IFERROR(AH82-AJ82,"")</f>
        <v>-1</v>
      </c>
      <c r="AM82" s="280"/>
      <c r="AN82" s="260">
        <f>IF('時間表'!F20="","",RANK(AV82,$AV$80:$AV$85,1))</f>
        <v>2</v>
      </c>
      <c r="AO82" s="260"/>
      <c r="AP82" s="311">
        <f>_xlfn.IFERROR(BA79,"")</f>
        <v>3</v>
      </c>
      <c r="AQ82" s="311"/>
      <c r="AR82" s="250">
        <f>_xlfn.IFERROR(100*RANK(AF82,AF80:AG85,0),"")</f>
        <v>200</v>
      </c>
      <c r="AS82" s="250">
        <f>_xlfn.IFERROR(10*RANK(AL82,AL80:AM85,0),"")</f>
        <v>20</v>
      </c>
      <c r="AT82" s="250">
        <f>_xlfn.IFERROR(RANK(AH82,AH80:AI85,0),"")</f>
        <v>2</v>
      </c>
      <c r="AU82" s="250">
        <v>1</v>
      </c>
      <c r="AV82" s="250">
        <f>_xlfn.IFERROR(SUM(AR82:AU83),"")</f>
        <v>223</v>
      </c>
      <c r="AW82" s="19"/>
      <c r="AX82" s="19"/>
      <c r="AY82" s="19"/>
      <c r="AZ82" s="19"/>
      <c r="BA82" s="278"/>
      <c r="BB82" s="278"/>
      <c r="BC82" s="278"/>
      <c r="BD82" s="278"/>
      <c r="BE82" s="278"/>
      <c r="BF82" s="278"/>
      <c r="BG82" s="39"/>
      <c r="BH82" s="39"/>
      <c r="BI82" s="39"/>
      <c r="BJ82" s="39"/>
      <c r="BK82" s="375"/>
      <c r="BL82" s="375"/>
      <c r="BM82" s="375"/>
      <c r="BN82" s="375"/>
      <c r="BO82" s="376"/>
      <c r="BP82" s="376"/>
      <c r="BQ82" s="375"/>
      <c r="BR82" s="375"/>
      <c r="BS82" s="375"/>
      <c r="BT82" s="375"/>
      <c r="BU82" s="377"/>
      <c r="BV82" s="377"/>
    </row>
    <row r="83" spans="1:64" ht="9" customHeight="1">
      <c r="A83" s="263"/>
      <c r="B83" s="264"/>
      <c r="C83" s="265"/>
      <c r="D83" s="265"/>
      <c r="E83" s="265"/>
      <c r="F83" s="265"/>
      <c r="G83" s="266"/>
      <c r="H83" s="262"/>
      <c r="I83" s="255"/>
      <c r="J83" s="255"/>
      <c r="K83" s="35"/>
      <c r="L83" s="255"/>
      <c r="M83" s="282"/>
      <c r="N83" s="251"/>
      <c r="O83" s="252"/>
      <c r="P83" s="252"/>
      <c r="Q83" s="252"/>
      <c r="R83" s="252"/>
      <c r="S83" s="252"/>
      <c r="T83" s="262"/>
      <c r="U83" s="255"/>
      <c r="V83" s="255"/>
      <c r="W83" s="35"/>
      <c r="X83" s="255"/>
      <c r="Y83" s="255"/>
      <c r="Z83" s="269"/>
      <c r="AA83" s="270"/>
      <c r="AB83" s="269"/>
      <c r="AC83" s="270"/>
      <c r="AD83" s="269"/>
      <c r="AE83" s="270"/>
      <c r="AF83" s="260"/>
      <c r="AG83" s="260"/>
      <c r="AH83" s="258"/>
      <c r="AI83" s="259"/>
      <c r="AJ83" s="260"/>
      <c r="AK83" s="260"/>
      <c r="AL83" s="279"/>
      <c r="AM83" s="280"/>
      <c r="AN83" s="260"/>
      <c r="AO83" s="260"/>
      <c r="AP83" s="311"/>
      <c r="AQ83" s="311"/>
      <c r="AR83" s="250"/>
      <c r="AS83" s="250"/>
      <c r="AT83" s="250"/>
      <c r="AU83" s="250"/>
      <c r="AV83" s="250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ht="9" customHeight="1">
      <c r="A84" s="263">
        <f>AN84</f>
        <v>3</v>
      </c>
      <c r="B84" s="264" t="str">
        <f>'時間表'!Q32</f>
        <v>柏原キッズ</v>
      </c>
      <c r="C84" s="265"/>
      <c r="D84" s="265"/>
      <c r="E84" s="265"/>
      <c r="F84" s="265"/>
      <c r="G84" s="266"/>
      <c r="H84" s="261" t="str">
        <f>IF(I84="","",IF(I84&gt;L84,"○",IF(I84&lt;L84,"●","△")))</f>
        <v>●</v>
      </c>
      <c r="I84" s="345">
        <f>X80</f>
        <v>0</v>
      </c>
      <c r="J84" s="345"/>
      <c r="K84" s="34"/>
      <c r="L84" s="254">
        <f>U80</f>
        <v>1</v>
      </c>
      <c r="M84" s="281"/>
      <c r="N84" s="261" t="str">
        <f>IF(O84="","",IF(O84&gt;R84,"○",IF(O84&lt;R84,"●","△")))</f>
        <v>△</v>
      </c>
      <c r="O84" s="254">
        <f>X82</f>
        <v>1</v>
      </c>
      <c r="P84" s="254"/>
      <c r="Q84" s="34"/>
      <c r="R84" s="254">
        <f>U82</f>
        <v>1</v>
      </c>
      <c r="S84" s="281"/>
      <c r="T84" s="251"/>
      <c r="U84" s="252"/>
      <c r="V84" s="252"/>
      <c r="W84" s="252"/>
      <c r="X84" s="252"/>
      <c r="Y84" s="253"/>
      <c r="Z84" s="267">
        <f>IF('時間表'!F22="","",COUNTIF($H84:$Y85,"○"))</f>
        <v>0</v>
      </c>
      <c r="AA84" s="268"/>
      <c r="AB84" s="267">
        <f>IF('時間表'!F22="","",COUNTIF($H84:$Y85,"△"))</f>
        <v>1</v>
      </c>
      <c r="AC84" s="268"/>
      <c r="AD84" s="267">
        <f>IF('時間表'!F22="","",COUNTIF($H84:$Y85,"●"))</f>
        <v>1</v>
      </c>
      <c r="AE84" s="268"/>
      <c r="AF84" s="260">
        <f>_xlfn.IFERROR(Z84*3+AB84,"")</f>
        <v>1</v>
      </c>
      <c r="AG84" s="260"/>
      <c r="AH84" s="256">
        <f>_xlfn.IFERROR(O84+I84,"")</f>
        <v>1</v>
      </c>
      <c r="AI84" s="257"/>
      <c r="AJ84" s="260">
        <f>_xlfn.IFERROR(R84+L84,"")</f>
        <v>2</v>
      </c>
      <c r="AK84" s="260"/>
      <c r="AL84" s="279">
        <f>_xlfn.IFERROR(AH84-AJ84,"")</f>
        <v>-1</v>
      </c>
      <c r="AM84" s="280"/>
      <c r="AN84" s="260">
        <f>IF('時間表'!F22="","",RANK(AV84,$AV$80:$AV$85,1))</f>
        <v>3</v>
      </c>
      <c r="AO84" s="260"/>
      <c r="AP84" s="311">
        <f>_xlfn.IFERROR(BA81,"")</f>
        <v>5</v>
      </c>
      <c r="AQ84" s="311"/>
      <c r="AR84" s="250">
        <f>_xlfn.IFERROR(100*RANK(AF84,AF80:AG85,0),"")</f>
        <v>200</v>
      </c>
      <c r="AS84" s="250">
        <f>_xlfn.IFERROR(10*RANK(AL84,AL80:AM85,0),"")</f>
        <v>20</v>
      </c>
      <c r="AT84" s="250">
        <f>_xlfn.IFERROR(RANK(AH84,AH80:AI85,0),"")</f>
        <v>2</v>
      </c>
      <c r="AU84" s="250">
        <v>2</v>
      </c>
      <c r="AV84" s="250">
        <f>_xlfn.IFERROR(SUM(AR84:AU85),"")</f>
        <v>224</v>
      </c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ht="9" customHeight="1">
      <c r="A85" s="263"/>
      <c r="B85" s="264"/>
      <c r="C85" s="265"/>
      <c r="D85" s="265"/>
      <c r="E85" s="265"/>
      <c r="F85" s="265"/>
      <c r="G85" s="266"/>
      <c r="H85" s="262"/>
      <c r="I85" s="346"/>
      <c r="J85" s="346"/>
      <c r="K85" s="35"/>
      <c r="L85" s="255"/>
      <c r="M85" s="282"/>
      <c r="N85" s="262"/>
      <c r="O85" s="255"/>
      <c r="P85" s="255"/>
      <c r="Q85" s="35"/>
      <c r="R85" s="255"/>
      <c r="S85" s="282"/>
      <c r="T85" s="251"/>
      <c r="U85" s="252"/>
      <c r="V85" s="252"/>
      <c r="W85" s="252"/>
      <c r="X85" s="252"/>
      <c r="Y85" s="253"/>
      <c r="Z85" s="269"/>
      <c r="AA85" s="270"/>
      <c r="AB85" s="269"/>
      <c r="AC85" s="270"/>
      <c r="AD85" s="269"/>
      <c r="AE85" s="270"/>
      <c r="AF85" s="260"/>
      <c r="AG85" s="260"/>
      <c r="AH85" s="258"/>
      <c r="AI85" s="259"/>
      <c r="AJ85" s="260"/>
      <c r="AK85" s="260"/>
      <c r="AL85" s="279"/>
      <c r="AM85" s="280"/>
      <c r="AN85" s="260"/>
      <c r="AO85" s="260"/>
      <c r="AP85" s="311"/>
      <c r="AQ85" s="311"/>
      <c r="AR85" s="250"/>
      <c r="AS85" s="250"/>
      <c r="AT85" s="250"/>
      <c r="AU85" s="250"/>
      <c r="AV85" s="250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ht="9" customHeight="1">
      <c r="A86" s="26"/>
      <c r="B86" s="22"/>
      <c r="C86" s="22"/>
      <c r="D86" s="22"/>
      <c r="E86" s="22"/>
      <c r="F86" s="22"/>
      <c r="G86" s="22"/>
      <c r="H86" s="23"/>
      <c r="I86" s="22"/>
      <c r="J86" s="23"/>
      <c r="K86" s="23"/>
      <c r="L86" s="22"/>
      <c r="M86" s="22"/>
      <c r="N86" s="23"/>
      <c r="O86" s="22"/>
      <c r="P86" s="22"/>
      <c r="Q86" s="23"/>
      <c r="R86" s="22"/>
      <c r="S86" s="22"/>
      <c r="T86" s="22"/>
      <c r="U86" s="22"/>
      <c r="V86" s="22"/>
      <c r="W86" s="22"/>
      <c r="X86" s="22"/>
      <c r="Y86" s="22"/>
      <c r="Z86" s="27"/>
      <c r="AA86" s="27"/>
      <c r="AB86" s="27"/>
      <c r="AC86" s="27"/>
      <c r="AD86" s="27"/>
      <c r="AE86" s="27"/>
      <c r="AF86" s="22"/>
      <c r="AG86" s="22"/>
      <c r="AH86" s="28"/>
      <c r="AI86" s="28"/>
      <c r="AJ86" s="22"/>
      <c r="AK86" s="22"/>
      <c r="AL86" s="28"/>
      <c r="AM86" s="28"/>
      <c r="AN86" s="29"/>
      <c r="AO86" s="29"/>
      <c r="AP86" s="19"/>
      <c r="AQ86" s="19"/>
      <c r="AR86" s="27"/>
      <c r="AS86" s="27"/>
      <c r="AT86" s="27"/>
      <c r="AU86" s="27"/>
      <c r="AV86" s="27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ht="9" customHeight="1">
      <c r="A87" s="26"/>
      <c r="B87" s="301" t="s">
        <v>81</v>
      </c>
      <c r="C87" s="301"/>
      <c r="D87" s="301"/>
      <c r="E87" s="301"/>
      <c r="F87" s="319">
        <v>1</v>
      </c>
      <c r="G87" s="295" t="str">
        <f>IF('時間表'!F23="","",VLOOKUP(F87,CⅠ,2,0))</f>
        <v>泉</v>
      </c>
      <c r="H87" s="295"/>
      <c r="I87" s="295"/>
      <c r="J87" s="295"/>
      <c r="K87" s="295"/>
      <c r="L87" s="373">
        <f>IF('時間表'!D29="","",'時間表'!D29)</f>
        <v>2</v>
      </c>
      <c r="M87" s="373"/>
      <c r="N87" s="356">
        <f>IF('時間表'!D30="","",'時間表'!D30)</f>
      </c>
      <c r="O87" s="357"/>
      <c r="P87" s="300" t="s">
        <v>84</v>
      </c>
      <c r="Q87" s="301"/>
      <c r="R87" s="301"/>
      <c r="S87" s="301"/>
      <c r="T87" s="319">
        <v>2</v>
      </c>
      <c r="U87" s="295" t="str">
        <f>_xlfn.IFERROR(VLOOKUP(T87,CⅠ,2,0),"")</f>
        <v>滋賀ｾﾝﾄﾗﾙ</v>
      </c>
      <c r="V87" s="295"/>
      <c r="W87" s="295"/>
      <c r="X87" s="295"/>
      <c r="Y87" s="295"/>
      <c r="Z87" s="373">
        <f>IF('時間表'!D27="","",'時間表'!D27)</f>
        <v>0</v>
      </c>
      <c r="AA87" s="373"/>
      <c r="AB87" s="356">
        <f>IF('時間表'!D28="","",'時間表'!D28)</f>
      </c>
      <c r="AC87" s="357"/>
      <c r="AD87" s="300" t="s">
        <v>86</v>
      </c>
      <c r="AE87" s="301"/>
      <c r="AF87" s="301"/>
      <c r="AG87" s="301"/>
      <c r="AH87" s="319">
        <v>3</v>
      </c>
      <c r="AI87" s="297" t="str">
        <f>_xlfn.IFERROR(VLOOKUP(AH87,CⅠ,2,0),"")</f>
        <v>富雄第三</v>
      </c>
      <c r="AJ87" s="297"/>
      <c r="AK87" s="297"/>
      <c r="AL87" s="297"/>
      <c r="AM87" s="297"/>
      <c r="AN87" s="373">
        <f>IF('時間表'!D25="","",'時間表'!D25)</f>
        <v>1</v>
      </c>
      <c r="AO87" s="373"/>
      <c r="AP87" s="356">
        <f>IF('時間表'!D26="","",'時間表'!D26)</f>
        <v>1</v>
      </c>
      <c r="AQ87" s="357"/>
      <c r="AR87" s="52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ht="9" customHeight="1" thickBot="1">
      <c r="A88" s="26"/>
      <c r="B88" s="301"/>
      <c r="C88" s="301"/>
      <c r="D88" s="301"/>
      <c r="E88" s="301"/>
      <c r="F88" s="374"/>
      <c r="G88" s="296"/>
      <c r="H88" s="296"/>
      <c r="I88" s="296"/>
      <c r="J88" s="296"/>
      <c r="K88" s="296"/>
      <c r="L88" s="373"/>
      <c r="M88" s="373"/>
      <c r="N88" s="358"/>
      <c r="O88" s="359"/>
      <c r="P88" s="300"/>
      <c r="Q88" s="301"/>
      <c r="R88" s="301"/>
      <c r="S88" s="301"/>
      <c r="T88" s="320"/>
      <c r="U88" s="296"/>
      <c r="V88" s="296"/>
      <c r="W88" s="296"/>
      <c r="X88" s="296"/>
      <c r="Y88" s="296"/>
      <c r="Z88" s="373"/>
      <c r="AA88" s="373"/>
      <c r="AB88" s="358"/>
      <c r="AC88" s="359"/>
      <c r="AD88" s="300"/>
      <c r="AE88" s="301"/>
      <c r="AF88" s="301"/>
      <c r="AG88" s="301"/>
      <c r="AH88" s="320"/>
      <c r="AI88" s="298"/>
      <c r="AJ88" s="298"/>
      <c r="AK88" s="298"/>
      <c r="AL88" s="298"/>
      <c r="AM88" s="298"/>
      <c r="AN88" s="373"/>
      <c r="AO88" s="373"/>
      <c r="AP88" s="358"/>
      <c r="AQ88" s="359"/>
      <c r="AR88" s="52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 ht="9" customHeight="1">
      <c r="A89" s="26"/>
      <c r="B89" s="31"/>
      <c r="C89" s="118"/>
      <c r="D89" s="46"/>
      <c r="E89" s="39"/>
      <c r="F89" s="39"/>
      <c r="G89" s="39"/>
      <c r="H89" s="40"/>
      <c r="I89" s="39"/>
      <c r="J89" s="41"/>
      <c r="K89" s="37"/>
      <c r="L89" s="39"/>
      <c r="M89" s="124"/>
      <c r="N89" s="349" t="s">
        <v>123</v>
      </c>
      <c r="O89" s="349"/>
      <c r="P89" s="46"/>
      <c r="Q89" s="118"/>
      <c r="R89" s="46"/>
      <c r="S89" s="39"/>
      <c r="T89" s="39"/>
      <c r="U89" s="39"/>
      <c r="V89" s="39"/>
      <c r="W89" s="39"/>
      <c r="X89" s="41"/>
      <c r="Y89" s="37"/>
      <c r="Z89" s="39"/>
      <c r="AA89" s="124"/>
      <c r="AB89" s="349" t="s">
        <v>123</v>
      </c>
      <c r="AC89" s="349"/>
      <c r="AD89" s="46"/>
      <c r="AE89" s="38"/>
      <c r="AF89" s="46"/>
      <c r="AG89" s="39"/>
      <c r="AH89" s="39"/>
      <c r="AI89" s="39"/>
      <c r="AJ89" s="39"/>
      <c r="AK89" s="39"/>
      <c r="AL89" s="41"/>
      <c r="AM89" s="37"/>
      <c r="AN89" s="39"/>
      <c r="AO89" s="124"/>
      <c r="AP89" s="349" t="s">
        <v>123</v>
      </c>
      <c r="AQ89" s="349"/>
      <c r="AR89" s="52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ht="9" customHeight="1">
      <c r="A90" s="26"/>
      <c r="B90" s="301" t="s">
        <v>82</v>
      </c>
      <c r="C90" s="301"/>
      <c r="D90" s="301"/>
      <c r="E90" s="301"/>
      <c r="F90" s="319">
        <v>1</v>
      </c>
      <c r="G90" s="295" t="str">
        <f>IF('時間表'!F24="","",VLOOKUP(F90,CⅡ,2,0))</f>
        <v>奈良FCjr</v>
      </c>
      <c r="H90" s="295"/>
      <c r="I90" s="295"/>
      <c r="J90" s="295"/>
      <c r="K90" s="295"/>
      <c r="L90" s="373">
        <f>IF('時間表'!F29="","",'時間表'!F29)</f>
        <v>1</v>
      </c>
      <c r="M90" s="373"/>
      <c r="N90" s="356">
        <f>IF('時間表'!F30="","",'時間表'!F30)</f>
      </c>
      <c r="O90" s="357"/>
      <c r="P90" s="300" t="s">
        <v>85</v>
      </c>
      <c r="Q90" s="301"/>
      <c r="R90" s="301"/>
      <c r="S90" s="301"/>
      <c r="T90" s="319">
        <v>2</v>
      </c>
      <c r="U90" s="297" t="str">
        <f>_xlfn.IFERROR(VLOOKUP(T90,CⅡ,2,0),"")</f>
        <v>門真北風</v>
      </c>
      <c r="V90" s="297"/>
      <c r="W90" s="297"/>
      <c r="X90" s="297"/>
      <c r="Y90" s="297"/>
      <c r="Z90" s="373">
        <f>IF('時間表'!F27="","",'時間表'!F27)</f>
        <v>1</v>
      </c>
      <c r="AA90" s="373"/>
      <c r="AB90" s="356">
        <f>IF('時間表'!F28="","",'時間表'!F28)</f>
      </c>
      <c r="AC90" s="357"/>
      <c r="AD90" s="300" t="s">
        <v>87</v>
      </c>
      <c r="AE90" s="301"/>
      <c r="AF90" s="301"/>
      <c r="AG90" s="301"/>
      <c r="AH90" s="319">
        <v>3</v>
      </c>
      <c r="AI90" s="297" t="str">
        <f>_xlfn.IFERROR(VLOOKUP(AH90,CⅡ,2,0),"")</f>
        <v>柏原キッズ</v>
      </c>
      <c r="AJ90" s="297"/>
      <c r="AK90" s="297"/>
      <c r="AL90" s="297"/>
      <c r="AM90" s="297"/>
      <c r="AN90" s="373">
        <f>IF('時間表'!F25="","",'時間表'!F25)</f>
        <v>1</v>
      </c>
      <c r="AO90" s="373"/>
      <c r="AP90" s="356">
        <f>IF('時間表'!F26="","",'時間表'!F26)</f>
        <v>2</v>
      </c>
      <c r="AQ90" s="357"/>
      <c r="AR90" s="37"/>
      <c r="AS90" s="30"/>
      <c r="AT90" s="32"/>
      <c r="AU90" s="32"/>
      <c r="AV90" s="33"/>
      <c r="AW90" s="33"/>
      <c r="AX90" s="33"/>
      <c r="AY90" s="33"/>
      <c r="AZ90" s="33"/>
      <c r="BA90" s="33"/>
      <c r="BB90" s="33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ht="9" customHeight="1" thickBot="1">
      <c r="A91" s="26"/>
      <c r="B91" s="301"/>
      <c r="C91" s="301"/>
      <c r="D91" s="301"/>
      <c r="E91" s="301"/>
      <c r="F91" s="320"/>
      <c r="G91" s="296"/>
      <c r="H91" s="296"/>
      <c r="I91" s="296"/>
      <c r="J91" s="296"/>
      <c r="K91" s="296"/>
      <c r="L91" s="373"/>
      <c r="M91" s="373"/>
      <c r="N91" s="358"/>
      <c r="O91" s="359"/>
      <c r="P91" s="300"/>
      <c r="Q91" s="301"/>
      <c r="R91" s="301"/>
      <c r="S91" s="301"/>
      <c r="T91" s="320"/>
      <c r="U91" s="298"/>
      <c r="V91" s="298"/>
      <c r="W91" s="298"/>
      <c r="X91" s="298"/>
      <c r="Y91" s="298"/>
      <c r="Z91" s="373"/>
      <c r="AA91" s="373"/>
      <c r="AB91" s="358"/>
      <c r="AC91" s="359"/>
      <c r="AD91" s="300"/>
      <c r="AE91" s="301"/>
      <c r="AF91" s="301"/>
      <c r="AG91" s="301"/>
      <c r="AH91" s="320"/>
      <c r="AI91" s="298"/>
      <c r="AJ91" s="298"/>
      <c r="AK91" s="298"/>
      <c r="AL91" s="298"/>
      <c r="AM91" s="298"/>
      <c r="AN91" s="373"/>
      <c r="AO91" s="373"/>
      <c r="AP91" s="358"/>
      <c r="AQ91" s="359"/>
      <c r="AR91" s="37"/>
      <c r="AS91" s="30"/>
      <c r="AT91" s="32"/>
      <c r="AU91" s="32"/>
      <c r="AV91" s="33"/>
      <c r="AW91" s="33"/>
      <c r="AX91" s="33"/>
      <c r="AY91" s="33"/>
      <c r="AZ91" s="33"/>
      <c r="BA91" s="33"/>
      <c r="BB91" s="33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</sheetData>
  <sheetProtection selectLockedCells="1"/>
  <mergeCells count="763">
    <mergeCell ref="AU82:AU83"/>
    <mergeCell ref="AU84:AU85"/>
    <mergeCell ref="BK81:BN82"/>
    <mergeCell ref="BO81:BP82"/>
    <mergeCell ref="BQ81:BR82"/>
    <mergeCell ref="BA81:BA82"/>
    <mergeCell ref="AV82:AV83"/>
    <mergeCell ref="BS81:BT82"/>
    <mergeCell ref="BU81:BU82"/>
    <mergeCell ref="BV81:BV82"/>
    <mergeCell ref="BK79:BN80"/>
    <mergeCell ref="BO79:BP80"/>
    <mergeCell ref="BQ79:BR80"/>
    <mergeCell ref="BS79:BT80"/>
    <mergeCell ref="BU79:BU80"/>
    <mergeCell ref="BV79:BV80"/>
    <mergeCell ref="BK77:BN78"/>
    <mergeCell ref="BO77:BP78"/>
    <mergeCell ref="BQ77:BR78"/>
    <mergeCell ref="BS77:BT78"/>
    <mergeCell ref="BU77:BU78"/>
    <mergeCell ref="BV77:BV78"/>
    <mergeCell ref="BK75:BN76"/>
    <mergeCell ref="BO75:BP76"/>
    <mergeCell ref="BQ75:BR76"/>
    <mergeCell ref="BS75:BT76"/>
    <mergeCell ref="BU75:BU76"/>
    <mergeCell ref="BV75:BV76"/>
    <mergeCell ref="BK73:BN74"/>
    <mergeCell ref="BO73:BP74"/>
    <mergeCell ref="BQ73:BR74"/>
    <mergeCell ref="BS73:BT74"/>
    <mergeCell ref="BU73:BU74"/>
    <mergeCell ref="BV73:BV74"/>
    <mergeCell ref="BK71:BN72"/>
    <mergeCell ref="BO71:BP72"/>
    <mergeCell ref="BQ71:BR72"/>
    <mergeCell ref="BS71:BT72"/>
    <mergeCell ref="BU71:BU72"/>
    <mergeCell ref="BV71:BV72"/>
    <mergeCell ref="BK51:BN52"/>
    <mergeCell ref="BO51:BP52"/>
    <mergeCell ref="BQ51:BR52"/>
    <mergeCell ref="BS51:BT52"/>
    <mergeCell ref="BU51:BU52"/>
    <mergeCell ref="BV51:BV52"/>
    <mergeCell ref="BK49:BN50"/>
    <mergeCell ref="BO49:BP50"/>
    <mergeCell ref="BQ49:BR50"/>
    <mergeCell ref="BS49:BT50"/>
    <mergeCell ref="BU49:BU50"/>
    <mergeCell ref="BV49:BV50"/>
    <mergeCell ref="BK47:BN48"/>
    <mergeCell ref="BO47:BP48"/>
    <mergeCell ref="BQ47:BR48"/>
    <mergeCell ref="BS47:BT48"/>
    <mergeCell ref="BU47:BU48"/>
    <mergeCell ref="BV47:BV48"/>
    <mergeCell ref="BK45:BN46"/>
    <mergeCell ref="BO45:BP46"/>
    <mergeCell ref="BQ45:BR46"/>
    <mergeCell ref="BS45:BT46"/>
    <mergeCell ref="BU45:BU46"/>
    <mergeCell ref="BV45:BV46"/>
    <mergeCell ref="BV41:BV42"/>
    <mergeCell ref="BK43:BN44"/>
    <mergeCell ref="BO43:BP44"/>
    <mergeCell ref="BQ43:BR44"/>
    <mergeCell ref="BS43:BT44"/>
    <mergeCell ref="BU43:BU44"/>
    <mergeCell ref="BV43:BV44"/>
    <mergeCell ref="BU41:BU42"/>
    <mergeCell ref="BU19:BU20"/>
    <mergeCell ref="BU21:BU22"/>
    <mergeCell ref="BQ19:BR20"/>
    <mergeCell ref="BQ21:BR22"/>
    <mergeCell ref="BV13:BV14"/>
    <mergeCell ref="BV15:BV16"/>
    <mergeCell ref="BV17:BV18"/>
    <mergeCell ref="BV19:BV20"/>
    <mergeCell ref="BV21:BV22"/>
    <mergeCell ref="BS13:BT14"/>
    <mergeCell ref="BS15:BT16"/>
    <mergeCell ref="BS17:BT18"/>
    <mergeCell ref="BS19:BT20"/>
    <mergeCell ref="BS21:BT22"/>
    <mergeCell ref="BK41:BN42"/>
    <mergeCell ref="BO41:BP42"/>
    <mergeCell ref="BQ41:BR42"/>
    <mergeCell ref="BS41:BT42"/>
    <mergeCell ref="BK21:BN22"/>
    <mergeCell ref="BU15:BU16"/>
    <mergeCell ref="BU17:BU18"/>
    <mergeCell ref="BV11:BV12"/>
    <mergeCell ref="BU11:BU12"/>
    <mergeCell ref="BU13:BU14"/>
    <mergeCell ref="BQ11:BR12"/>
    <mergeCell ref="BQ13:BR14"/>
    <mergeCell ref="BQ15:BR16"/>
    <mergeCell ref="BQ17:BR18"/>
    <mergeCell ref="BS11:BT12"/>
    <mergeCell ref="BO11:BP12"/>
    <mergeCell ref="BO13:BP14"/>
    <mergeCell ref="BO15:BP16"/>
    <mergeCell ref="BO17:BP18"/>
    <mergeCell ref="BO19:BP20"/>
    <mergeCell ref="BO21:BP22"/>
    <mergeCell ref="AF24:AG25"/>
    <mergeCell ref="AJ24:AK25"/>
    <mergeCell ref="AP24:AQ25"/>
    <mergeCell ref="AS24:AS25"/>
    <mergeCell ref="BK11:BN12"/>
    <mergeCell ref="BK13:BN14"/>
    <mergeCell ref="BK15:BN16"/>
    <mergeCell ref="BK17:BN18"/>
    <mergeCell ref="BK19:BN20"/>
    <mergeCell ref="BB17:BF18"/>
    <mergeCell ref="BB19:BF20"/>
    <mergeCell ref="BA15:BA16"/>
    <mergeCell ref="BA11:BA12"/>
    <mergeCell ref="BA13:BA14"/>
    <mergeCell ref="BB21:BF22"/>
    <mergeCell ref="AS15:AS16"/>
    <mergeCell ref="AT15:AT16"/>
    <mergeCell ref="AV15:AV16"/>
    <mergeCell ref="BB11:BF12"/>
    <mergeCell ref="BB13:BF14"/>
    <mergeCell ref="BB15:BF16"/>
    <mergeCell ref="AN82:AO83"/>
    <mergeCell ref="AR18:AR19"/>
    <mergeCell ref="AS18:AS19"/>
    <mergeCell ref="AV18:AV19"/>
    <mergeCell ref="AN18:AO19"/>
    <mergeCell ref="AP18:AQ19"/>
    <mergeCell ref="AT18:AT19"/>
    <mergeCell ref="AN27:AO28"/>
    <mergeCell ref="AN30:AO31"/>
    <mergeCell ref="F87:F88"/>
    <mergeCell ref="AJ84:AK85"/>
    <mergeCell ref="AH84:AI85"/>
    <mergeCell ref="AN90:AO91"/>
    <mergeCell ref="AB89:AC89"/>
    <mergeCell ref="AH90:AH91"/>
    <mergeCell ref="AB90:AC91"/>
    <mergeCell ref="AN87:AO88"/>
    <mergeCell ref="P90:S91"/>
    <mergeCell ref="P87:S88"/>
    <mergeCell ref="G90:K91"/>
    <mergeCell ref="L87:M88"/>
    <mergeCell ref="B87:E88"/>
    <mergeCell ref="AL84:AM85"/>
    <mergeCell ref="Z87:AA88"/>
    <mergeCell ref="AD87:AG88"/>
    <mergeCell ref="AH87:AH88"/>
    <mergeCell ref="AI87:AM88"/>
    <mergeCell ref="O84:P85"/>
    <mergeCell ref="H84:H85"/>
    <mergeCell ref="AB71:AC72"/>
    <mergeCell ref="AB82:AC83"/>
    <mergeCell ref="B90:E91"/>
    <mergeCell ref="T87:T88"/>
    <mergeCell ref="AF78:AG79"/>
    <mergeCell ref="T80:T81"/>
    <mergeCell ref="T82:T83"/>
    <mergeCell ref="F90:F91"/>
    <mergeCell ref="L90:M91"/>
    <mergeCell ref="N89:O89"/>
    <mergeCell ref="Z78:AA79"/>
    <mergeCell ref="AB80:AC81"/>
    <mergeCell ref="U87:Y88"/>
    <mergeCell ref="AI90:AM91"/>
    <mergeCell ref="AD60:AG61"/>
    <mergeCell ref="B60:E61"/>
    <mergeCell ref="F60:F61"/>
    <mergeCell ref="U90:Y91"/>
    <mergeCell ref="Z90:AA91"/>
    <mergeCell ref="G87:K88"/>
    <mergeCell ref="AL52:AM53"/>
    <mergeCell ref="AD52:AE53"/>
    <mergeCell ref="AF54:AG55"/>
    <mergeCell ref="N90:O91"/>
    <mergeCell ref="N87:O88"/>
    <mergeCell ref="T90:T91"/>
    <mergeCell ref="AB87:AC88"/>
    <mergeCell ref="AD90:AG91"/>
    <mergeCell ref="AB59:AC59"/>
    <mergeCell ref="Z82:AA83"/>
    <mergeCell ref="T69:Y70"/>
    <mergeCell ref="AH57:AH58"/>
    <mergeCell ref="AH60:AH61"/>
    <mergeCell ref="AI57:AM58"/>
    <mergeCell ref="AI60:AM61"/>
    <mergeCell ref="AD54:AE55"/>
    <mergeCell ref="AB69:AC70"/>
    <mergeCell ref="AD69:AE70"/>
    <mergeCell ref="AF69:AG70"/>
    <mergeCell ref="AH69:AI70"/>
    <mergeCell ref="L60:M61"/>
    <mergeCell ref="P60:S61"/>
    <mergeCell ref="Z69:AA70"/>
    <mergeCell ref="AB54:AC55"/>
    <mergeCell ref="AF52:AG53"/>
    <mergeCell ref="AB52:AC53"/>
    <mergeCell ref="N60:O61"/>
    <mergeCell ref="T57:T58"/>
    <mergeCell ref="U57:Y58"/>
    <mergeCell ref="AB57:AC58"/>
    <mergeCell ref="AN39:AO40"/>
    <mergeCell ref="T73:T74"/>
    <mergeCell ref="H75:H76"/>
    <mergeCell ref="N75:N76"/>
    <mergeCell ref="U60:Y61"/>
    <mergeCell ref="G57:K58"/>
    <mergeCell ref="T60:T61"/>
    <mergeCell ref="G60:K61"/>
    <mergeCell ref="AF50:AG51"/>
    <mergeCell ref="AJ69:AK70"/>
    <mergeCell ref="AP45:AQ46"/>
    <mergeCell ref="AH50:AI51"/>
    <mergeCell ref="AH45:AI46"/>
    <mergeCell ref="AJ45:AK46"/>
    <mergeCell ref="AB43:AC44"/>
    <mergeCell ref="AD43:AE44"/>
    <mergeCell ref="AF43:AG44"/>
    <mergeCell ref="AL45:AM46"/>
    <mergeCell ref="AN45:AO46"/>
    <mergeCell ref="AN48:AO49"/>
    <mergeCell ref="G27:K28"/>
    <mergeCell ref="B36:C37"/>
    <mergeCell ref="H43:H44"/>
    <mergeCell ref="H45:H46"/>
    <mergeCell ref="H41:M42"/>
    <mergeCell ref="AD45:AE46"/>
    <mergeCell ref="O41:P42"/>
    <mergeCell ref="R41:S42"/>
    <mergeCell ref="I43:J44"/>
    <mergeCell ref="L43:M44"/>
    <mergeCell ref="L30:M31"/>
    <mergeCell ref="N41:N42"/>
    <mergeCell ref="N39:S40"/>
    <mergeCell ref="B30:E31"/>
    <mergeCell ref="F30:F31"/>
    <mergeCell ref="B41:G42"/>
    <mergeCell ref="L27:M28"/>
    <mergeCell ref="D36:P37"/>
    <mergeCell ref="N30:O31"/>
    <mergeCell ref="P27:S28"/>
    <mergeCell ref="P30:S31"/>
    <mergeCell ref="N27:O28"/>
    <mergeCell ref="N29:O29"/>
    <mergeCell ref="G30:K31"/>
    <mergeCell ref="B27:E28"/>
    <mergeCell ref="F27:F28"/>
    <mergeCell ref="AP50:AQ51"/>
    <mergeCell ref="AP60:AQ61"/>
    <mergeCell ref="BA71:BA72"/>
    <mergeCell ref="BB71:BF72"/>
    <mergeCell ref="AJ54:AK55"/>
    <mergeCell ref="AL54:AM55"/>
    <mergeCell ref="AV71:AV72"/>
    <mergeCell ref="AN69:AO70"/>
    <mergeCell ref="AL69:AM70"/>
    <mergeCell ref="AP54:AQ55"/>
    <mergeCell ref="AV48:AV49"/>
    <mergeCell ref="AR48:AR49"/>
    <mergeCell ref="AS48:AS49"/>
    <mergeCell ref="AT48:AT49"/>
    <mergeCell ref="AR50:AR51"/>
    <mergeCell ref="AP69:AQ70"/>
    <mergeCell ref="AR69:AR70"/>
    <mergeCell ref="AS69:AS70"/>
    <mergeCell ref="AT69:AT70"/>
    <mergeCell ref="AP57:AQ58"/>
    <mergeCell ref="T71:T72"/>
    <mergeCell ref="AN57:AO58"/>
    <mergeCell ref="AV69:AV70"/>
    <mergeCell ref="BA45:BA46"/>
    <mergeCell ref="AP27:AQ28"/>
    <mergeCell ref="T52:T53"/>
    <mergeCell ref="AS50:AS51"/>
    <mergeCell ref="AT50:AT51"/>
    <mergeCell ref="AV50:AV51"/>
    <mergeCell ref="BA41:BA42"/>
    <mergeCell ref="AB60:AC61"/>
    <mergeCell ref="N59:O59"/>
    <mergeCell ref="P57:S58"/>
    <mergeCell ref="AD57:AG58"/>
    <mergeCell ref="Z57:AA58"/>
    <mergeCell ref="Z60:AA61"/>
    <mergeCell ref="AP90:AQ91"/>
    <mergeCell ref="AT78:AT79"/>
    <mergeCell ref="AV78:AV79"/>
    <mergeCell ref="AR78:AR79"/>
    <mergeCell ref="AP87:AQ88"/>
    <mergeCell ref="AS75:AS76"/>
    <mergeCell ref="AV80:AV81"/>
    <mergeCell ref="AT75:AT76"/>
    <mergeCell ref="AV75:AV76"/>
    <mergeCell ref="AT80:AT81"/>
    <mergeCell ref="AT82:AT83"/>
    <mergeCell ref="BA75:BA76"/>
    <mergeCell ref="BB75:BF76"/>
    <mergeCell ref="AT71:AT72"/>
    <mergeCell ref="BB77:BF78"/>
    <mergeCell ref="BA77:BA78"/>
    <mergeCell ref="BA79:BA80"/>
    <mergeCell ref="AT73:AT74"/>
    <mergeCell ref="AV73:AV74"/>
    <mergeCell ref="AU80:AU81"/>
    <mergeCell ref="BA9:BB10"/>
    <mergeCell ref="BC9:BF10"/>
    <mergeCell ref="BA39:BB40"/>
    <mergeCell ref="BC39:BF40"/>
    <mergeCell ref="BA69:BB70"/>
    <mergeCell ref="BC69:BF70"/>
    <mergeCell ref="BB51:BF52"/>
    <mergeCell ref="BA21:BA22"/>
    <mergeCell ref="BA47:BA48"/>
    <mergeCell ref="BB47:BF48"/>
    <mergeCell ref="BB49:BF50"/>
    <mergeCell ref="BB41:BF42"/>
    <mergeCell ref="BA43:BA44"/>
    <mergeCell ref="BB43:BF44"/>
    <mergeCell ref="BB81:BF82"/>
    <mergeCell ref="BA73:BA74"/>
    <mergeCell ref="BA49:BA50"/>
    <mergeCell ref="BB79:BF80"/>
    <mergeCell ref="BB73:BF74"/>
    <mergeCell ref="BB45:BF46"/>
    <mergeCell ref="AP89:AQ89"/>
    <mergeCell ref="AR75:AR76"/>
    <mergeCell ref="AN84:AO85"/>
    <mergeCell ref="AP84:AQ85"/>
    <mergeCell ref="AP73:AQ74"/>
    <mergeCell ref="AR52:AR53"/>
    <mergeCell ref="AN54:AO55"/>
    <mergeCell ref="AN52:AO53"/>
    <mergeCell ref="AN60:AO61"/>
    <mergeCell ref="AP59:AQ59"/>
    <mergeCell ref="AP75:AQ76"/>
    <mergeCell ref="AJ73:AK74"/>
    <mergeCell ref="AL73:AM74"/>
    <mergeCell ref="AN73:AO74"/>
    <mergeCell ref="AR80:AR81"/>
    <mergeCell ref="AJ75:AK76"/>
    <mergeCell ref="AL75:AM76"/>
    <mergeCell ref="AN75:AO76"/>
    <mergeCell ref="AR73:AR74"/>
    <mergeCell ref="AF75:AG76"/>
    <mergeCell ref="AD82:AE83"/>
    <mergeCell ref="AF82:AG83"/>
    <mergeCell ref="AL82:AM83"/>
    <mergeCell ref="AH82:AI83"/>
    <mergeCell ref="AJ82:AK83"/>
    <mergeCell ref="AD78:AE79"/>
    <mergeCell ref="AH78:AI79"/>
    <mergeCell ref="AJ80:AK81"/>
    <mergeCell ref="AH80:AI81"/>
    <mergeCell ref="B78:C79"/>
    <mergeCell ref="D78:G79"/>
    <mergeCell ref="H78:M79"/>
    <mergeCell ref="N78:S79"/>
    <mergeCell ref="T78:Y79"/>
    <mergeCell ref="H80:M81"/>
    <mergeCell ref="AF41:AG42"/>
    <mergeCell ref="AH41:AI42"/>
    <mergeCell ref="AL41:AM42"/>
    <mergeCell ref="Z39:AA40"/>
    <mergeCell ref="T45:Y46"/>
    <mergeCell ref="Z54:AA55"/>
    <mergeCell ref="Z52:AA53"/>
    <mergeCell ref="Z45:AA46"/>
    <mergeCell ref="U41:V42"/>
    <mergeCell ref="X43:Y44"/>
    <mergeCell ref="Z24:AA25"/>
    <mergeCell ref="Z41:AA42"/>
    <mergeCell ref="AB41:AC42"/>
    <mergeCell ref="AH30:AH31"/>
    <mergeCell ref="AI27:AM28"/>
    <mergeCell ref="AI30:AM31"/>
    <mergeCell ref="AB29:AC29"/>
    <mergeCell ref="AB24:AC25"/>
    <mergeCell ref="AD39:AE40"/>
    <mergeCell ref="AB39:AC40"/>
    <mergeCell ref="AV39:AV40"/>
    <mergeCell ref="AR41:AR42"/>
    <mergeCell ref="AT24:AT25"/>
    <mergeCell ref="AH43:AI44"/>
    <mergeCell ref="AJ43:AK44"/>
    <mergeCell ref="AP29:AQ29"/>
    <mergeCell ref="AH39:AI40"/>
    <mergeCell ref="AJ39:AK40"/>
    <mergeCell ref="AH27:AH28"/>
    <mergeCell ref="AV43:AV44"/>
    <mergeCell ref="BA51:BA52"/>
    <mergeCell ref="AP52:AQ53"/>
    <mergeCell ref="AL43:AM44"/>
    <mergeCell ref="AN43:AO44"/>
    <mergeCell ref="AH22:AI23"/>
    <mergeCell ref="AP22:AQ23"/>
    <mergeCell ref="AJ22:AK23"/>
    <mergeCell ref="AN22:AO23"/>
    <mergeCell ref="AP30:AQ31"/>
    <mergeCell ref="AJ41:AK42"/>
    <mergeCell ref="AV22:AV23"/>
    <mergeCell ref="AV24:AV25"/>
    <mergeCell ref="AS41:AS42"/>
    <mergeCell ref="AV41:AV42"/>
    <mergeCell ref="AN41:AO42"/>
    <mergeCell ref="AT39:AT40"/>
    <mergeCell ref="AS39:AS40"/>
    <mergeCell ref="AP41:AQ42"/>
    <mergeCell ref="AR39:AR40"/>
    <mergeCell ref="AP39:AQ40"/>
    <mergeCell ref="A80:A81"/>
    <mergeCell ref="Z80:AA81"/>
    <mergeCell ref="R24:S25"/>
    <mergeCell ref="AL39:AM40"/>
    <mergeCell ref="U80:V81"/>
    <mergeCell ref="BA17:BA18"/>
    <mergeCell ref="BA19:BA20"/>
    <mergeCell ref="H22:H23"/>
    <mergeCell ref="H24:H25"/>
    <mergeCell ref="N24:N25"/>
    <mergeCell ref="AS22:AS23"/>
    <mergeCell ref="AT22:AT23"/>
    <mergeCell ref="AB22:AC23"/>
    <mergeCell ref="Z22:AA23"/>
    <mergeCell ref="AD22:AE23"/>
    <mergeCell ref="AD24:AE25"/>
    <mergeCell ref="AH24:AI25"/>
    <mergeCell ref="AL24:AM25"/>
    <mergeCell ref="AN24:AO25"/>
    <mergeCell ref="AR24:AR25"/>
    <mergeCell ref="AS84:AS85"/>
    <mergeCell ref="AT84:AT85"/>
    <mergeCell ref="AV84:AV85"/>
    <mergeCell ref="N84:N85"/>
    <mergeCell ref="R84:S85"/>
    <mergeCell ref="T84:Y85"/>
    <mergeCell ref="Z84:AA85"/>
    <mergeCell ref="AB84:AC85"/>
    <mergeCell ref="AD84:AE85"/>
    <mergeCell ref="AF84:AG85"/>
    <mergeCell ref="AR84:AR85"/>
    <mergeCell ref="A82:A83"/>
    <mergeCell ref="B82:G83"/>
    <mergeCell ref="I82:J83"/>
    <mergeCell ref="L82:M83"/>
    <mergeCell ref="N82:S83"/>
    <mergeCell ref="AR82:AR83"/>
    <mergeCell ref="A84:A85"/>
    <mergeCell ref="B84:G85"/>
    <mergeCell ref="I84:J85"/>
    <mergeCell ref="U82:V83"/>
    <mergeCell ref="X80:Y81"/>
    <mergeCell ref="O80:P81"/>
    <mergeCell ref="R80:S81"/>
    <mergeCell ref="L84:M85"/>
    <mergeCell ref="X82:Y83"/>
    <mergeCell ref="AS80:AS81"/>
    <mergeCell ref="H82:H83"/>
    <mergeCell ref="AS78:AS79"/>
    <mergeCell ref="B80:G81"/>
    <mergeCell ref="AL80:AM81"/>
    <mergeCell ref="AN80:AO81"/>
    <mergeCell ref="AP80:AQ81"/>
    <mergeCell ref="AD80:AE81"/>
    <mergeCell ref="AP82:AQ83"/>
    <mergeCell ref="AS82:AS83"/>
    <mergeCell ref="Z73:AA74"/>
    <mergeCell ref="AB73:AC74"/>
    <mergeCell ref="AD73:AE74"/>
    <mergeCell ref="AF73:AG74"/>
    <mergeCell ref="AH73:AI74"/>
    <mergeCell ref="AF80:AG81"/>
    <mergeCell ref="AB78:AC79"/>
    <mergeCell ref="AH75:AI76"/>
    <mergeCell ref="Z75:AA76"/>
    <mergeCell ref="AD75:AE76"/>
    <mergeCell ref="AS73:AS74"/>
    <mergeCell ref="AP71:AQ72"/>
    <mergeCell ref="AF71:AG72"/>
    <mergeCell ref="AH71:AI72"/>
    <mergeCell ref="AJ71:AK72"/>
    <mergeCell ref="AL71:AM72"/>
    <mergeCell ref="AN71:AO72"/>
    <mergeCell ref="AR71:AR72"/>
    <mergeCell ref="AS71:AS72"/>
    <mergeCell ref="R75:S76"/>
    <mergeCell ref="T75:Y76"/>
    <mergeCell ref="AD71:AE72"/>
    <mergeCell ref="AN78:AO79"/>
    <mergeCell ref="AP78:AQ79"/>
    <mergeCell ref="AJ78:AK79"/>
    <mergeCell ref="AL78:AM79"/>
    <mergeCell ref="AB75:AC76"/>
    <mergeCell ref="X73:Y74"/>
    <mergeCell ref="Z71:AA72"/>
    <mergeCell ref="A75:A76"/>
    <mergeCell ref="B75:G76"/>
    <mergeCell ref="I75:J76"/>
    <mergeCell ref="L75:M76"/>
    <mergeCell ref="O75:P76"/>
    <mergeCell ref="N71:N72"/>
    <mergeCell ref="H73:H74"/>
    <mergeCell ref="A73:A74"/>
    <mergeCell ref="B73:G74"/>
    <mergeCell ref="I73:J74"/>
    <mergeCell ref="L73:M74"/>
    <mergeCell ref="N73:S74"/>
    <mergeCell ref="U73:V74"/>
    <mergeCell ref="A71:A72"/>
    <mergeCell ref="D48:G49"/>
    <mergeCell ref="H48:M49"/>
    <mergeCell ref="N48:S49"/>
    <mergeCell ref="T48:Y49"/>
    <mergeCell ref="O54:P55"/>
    <mergeCell ref="X71:Y72"/>
    <mergeCell ref="H54:H55"/>
    <mergeCell ref="I54:J55"/>
    <mergeCell ref="L54:M55"/>
    <mergeCell ref="N57:O58"/>
    <mergeCell ref="H69:M70"/>
    <mergeCell ref="N69:S70"/>
    <mergeCell ref="R54:S55"/>
    <mergeCell ref="N54:N55"/>
    <mergeCell ref="D66:P67"/>
    <mergeCell ref="L57:M58"/>
    <mergeCell ref="B57:E58"/>
    <mergeCell ref="F57:F58"/>
    <mergeCell ref="H71:M72"/>
    <mergeCell ref="O71:P72"/>
    <mergeCell ref="R71:S72"/>
    <mergeCell ref="U71:V72"/>
    <mergeCell ref="B71:G72"/>
    <mergeCell ref="B69:C70"/>
    <mergeCell ref="D69:G70"/>
    <mergeCell ref="B66:C67"/>
    <mergeCell ref="I24:J25"/>
    <mergeCell ref="L24:M25"/>
    <mergeCell ref="A52:A53"/>
    <mergeCell ref="B52:G53"/>
    <mergeCell ref="A50:A51"/>
    <mergeCell ref="T22:T23"/>
    <mergeCell ref="T24:Y25"/>
    <mergeCell ref="H52:H53"/>
    <mergeCell ref="T39:Y40"/>
    <mergeCell ref="U52:V53"/>
    <mergeCell ref="B50:G51"/>
    <mergeCell ref="I52:J53"/>
    <mergeCell ref="U22:V23"/>
    <mergeCell ref="A54:A55"/>
    <mergeCell ref="B54:G55"/>
    <mergeCell ref="T43:T44"/>
    <mergeCell ref="U43:V44"/>
    <mergeCell ref="O24:P25"/>
    <mergeCell ref="A24:A25"/>
    <mergeCell ref="B24:G25"/>
    <mergeCell ref="AV20:AV21"/>
    <mergeCell ref="Z20:AA21"/>
    <mergeCell ref="AD20:AE21"/>
    <mergeCell ref="AH20:AI21"/>
    <mergeCell ref="AL20:AM21"/>
    <mergeCell ref="AF22:AG23"/>
    <mergeCell ref="AR22:AR23"/>
    <mergeCell ref="AS20:AS21"/>
    <mergeCell ref="AT20:AT21"/>
    <mergeCell ref="AF20:AG21"/>
    <mergeCell ref="X22:Y23"/>
    <mergeCell ref="AN20:AO21"/>
    <mergeCell ref="U20:V21"/>
    <mergeCell ref="AB20:AC21"/>
    <mergeCell ref="AR20:AR21"/>
    <mergeCell ref="AP20:AQ21"/>
    <mergeCell ref="AJ20:AK21"/>
    <mergeCell ref="AL22:AM23"/>
    <mergeCell ref="A20:A21"/>
    <mergeCell ref="B20:G21"/>
    <mergeCell ref="H20:M21"/>
    <mergeCell ref="O20:P21"/>
    <mergeCell ref="A22:A23"/>
    <mergeCell ref="B22:G23"/>
    <mergeCell ref="I22:J23"/>
    <mergeCell ref="L22:M23"/>
    <mergeCell ref="N20:N21"/>
    <mergeCell ref="N22:S23"/>
    <mergeCell ref="AD18:AE19"/>
    <mergeCell ref="B18:C19"/>
    <mergeCell ref="D18:G19"/>
    <mergeCell ref="H18:M19"/>
    <mergeCell ref="R20:S21"/>
    <mergeCell ref="N18:S19"/>
    <mergeCell ref="T18:Y19"/>
    <mergeCell ref="Z18:AA19"/>
    <mergeCell ref="T20:T21"/>
    <mergeCell ref="X20:Y21"/>
    <mergeCell ref="Z13:AA14"/>
    <mergeCell ref="AH13:AI14"/>
    <mergeCell ref="AF18:AG19"/>
    <mergeCell ref="AJ18:AK19"/>
    <mergeCell ref="AH18:AI19"/>
    <mergeCell ref="AL18:AM19"/>
    <mergeCell ref="AF15:AG16"/>
    <mergeCell ref="AJ13:AK14"/>
    <mergeCell ref="AJ15:AK16"/>
    <mergeCell ref="AB18:AC19"/>
    <mergeCell ref="AP15:AQ16"/>
    <mergeCell ref="AN15:AO16"/>
    <mergeCell ref="AH15:AI16"/>
    <mergeCell ref="AL15:AM16"/>
    <mergeCell ref="AB13:AC14"/>
    <mergeCell ref="AD13:AE14"/>
    <mergeCell ref="AP13:AQ14"/>
    <mergeCell ref="AT13:AT14"/>
    <mergeCell ref="AR15:AR16"/>
    <mergeCell ref="B13:G14"/>
    <mergeCell ref="I13:J14"/>
    <mergeCell ref="L13:M14"/>
    <mergeCell ref="N13:S14"/>
    <mergeCell ref="R15:S16"/>
    <mergeCell ref="AL13:AM14"/>
    <mergeCell ref="Z15:AA16"/>
    <mergeCell ref="AB15:AC16"/>
    <mergeCell ref="U13:V14"/>
    <mergeCell ref="X13:Y14"/>
    <mergeCell ref="AV11:AV12"/>
    <mergeCell ref="AR11:AR12"/>
    <mergeCell ref="AF13:AG14"/>
    <mergeCell ref="AV13:AV14"/>
    <mergeCell ref="AN13:AO14"/>
    <mergeCell ref="AN11:AO12"/>
    <mergeCell ref="AF11:AG12"/>
    <mergeCell ref="AJ11:AK12"/>
    <mergeCell ref="A15:A16"/>
    <mergeCell ref="B15:G16"/>
    <mergeCell ref="I15:J16"/>
    <mergeCell ref="L15:M16"/>
    <mergeCell ref="AD15:AE16"/>
    <mergeCell ref="N11:N12"/>
    <mergeCell ref="T11:T12"/>
    <mergeCell ref="T15:Y16"/>
    <mergeCell ref="O15:P16"/>
    <mergeCell ref="H13:H14"/>
    <mergeCell ref="H15:H16"/>
    <mergeCell ref="T13:T14"/>
    <mergeCell ref="N15:N16"/>
    <mergeCell ref="AT11:AT12"/>
    <mergeCell ref="Z11:AA12"/>
    <mergeCell ref="AB11:AC12"/>
    <mergeCell ref="AD11:AE12"/>
    <mergeCell ref="AH11:AI12"/>
    <mergeCell ref="AL11:AM12"/>
    <mergeCell ref="AP11:AQ12"/>
    <mergeCell ref="A11:A12"/>
    <mergeCell ref="B11:G12"/>
    <mergeCell ref="H11:M12"/>
    <mergeCell ref="O11:P12"/>
    <mergeCell ref="R11:S12"/>
    <mergeCell ref="AT41:AT42"/>
    <mergeCell ref="A13:A14"/>
    <mergeCell ref="T27:T28"/>
    <mergeCell ref="T30:T31"/>
    <mergeCell ref="AD27:AG28"/>
    <mergeCell ref="AV9:AV10"/>
    <mergeCell ref="Z9:AA10"/>
    <mergeCell ref="AB9:AC10"/>
    <mergeCell ref="AD9:AE10"/>
    <mergeCell ref="AH9:AI10"/>
    <mergeCell ref="AL9:AM10"/>
    <mergeCell ref="AP9:AQ10"/>
    <mergeCell ref="AF9:AG10"/>
    <mergeCell ref="AR9:AR10"/>
    <mergeCell ref="AN9:AO10"/>
    <mergeCell ref="AT43:AT44"/>
    <mergeCell ref="AP43:AQ44"/>
    <mergeCell ref="AT9:AT10"/>
    <mergeCell ref="X11:Y12"/>
    <mergeCell ref="B2:U3"/>
    <mergeCell ref="V2:AQ3"/>
    <mergeCell ref="V4:AQ5"/>
    <mergeCell ref="B6:C7"/>
    <mergeCell ref="B9:C10"/>
    <mergeCell ref="D9:G10"/>
    <mergeCell ref="H9:M10"/>
    <mergeCell ref="N9:S10"/>
    <mergeCell ref="T9:Y10"/>
    <mergeCell ref="B48:C49"/>
    <mergeCell ref="D6:P7"/>
    <mergeCell ref="AS9:AS10"/>
    <mergeCell ref="AS11:AS12"/>
    <mergeCell ref="AR13:AR14"/>
    <mergeCell ref="AS13:AS14"/>
    <mergeCell ref="U11:V12"/>
    <mergeCell ref="AJ9:AK10"/>
    <mergeCell ref="B45:G46"/>
    <mergeCell ref="I45:J46"/>
    <mergeCell ref="L45:M46"/>
    <mergeCell ref="O45:P46"/>
    <mergeCell ref="R45:S46"/>
    <mergeCell ref="N45:N46"/>
    <mergeCell ref="AD30:AG31"/>
    <mergeCell ref="AB27:AC28"/>
    <mergeCell ref="AB30:AC31"/>
    <mergeCell ref="AN50:AO51"/>
    <mergeCell ref="AL48:AM49"/>
    <mergeCell ref="Z50:AA51"/>
    <mergeCell ref="Z48:AA49"/>
    <mergeCell ref="AF45:AG46"/>
    <mergeCell ref="AB45:AC46"/>
    <mergeCell ref="AB48:AC49"/>
    <mergeCell ref="AJ50:AK51"/>
    <mergeCell ref="AD50:AE51"/>
    <mergeCell ref="AS45:AS46"/>
    <mergeCell ref="AT45:AT46"/>
    <mergeCell ref="AP48:AQ49"/>
    <mergeCell ref="U27:Y28"/>
    <mergeCell ref="U30:Y31"/>
    <mergeCell ref="Z27:AA28"/>
    <mergeCell ref="Z30:AA31"/>
    <mergeCell ref="AR43:AR44"/>
    <mergeCell ref="AS43:AS44"/>
    <mergeCell ref="AF39:AG40"/>
    <mergeCell ref="A45:A46"/>
    <mergeCell ref="T41:T42"/>
    <mergeCell ref="X41:Y42"/>
    <mergeCell ref="AD41:AE42"/>
    <mergeCell ref="B39:C40"/>
    <mergeCell ref="A41:A42"/>
    <mergeCell ref="D39:G40"/>
    <mergeCell ref="H39:M40"/>
    <mergeCell ref="N43:S44"/>
    <mergeCell ref="Z43:AA44"/>
    <mergeCell ref="H50:M51"/>
    <mergeCell ref="AS52:AS53"/>
    <mergeCell ref="AT52:AT53"/>
    <mergeCell ref="AF48:AG49"/>
    <mergeCell ref="AH48:AI49"/>
    <mergeCell ref="AJ48:AK49"/>
    <mergeCell ref="AL50:AM51"/>
    <mergeCell ref="O50:P51"/>
    <mergeCell ref="L52:M53"/>
    <mergeCell ref="N52:S53"/>
    <mergeCell ref="R50:S51"/>
    <mergeCell ref="U50:V51"/>
    <mergeCell ref="X50:Y51"/>
    <mergeCell ref="T50:T51"/>
    <mergeCell ref="AV45:AV46"/>
    <mergeCell ref="A43:A44"/>
    <mergeCell ref="B43:G44"/>
    <mergeCell ref="AR45:AR46"/>
    <mergeCell ref="AB50:AC51"/>
    <mergeCell ref="AD48:AE49"/>
    <mergeCell ref="AV52:AV53"/>
    <mergeCell ref="AR54:AR55"/>
    <mergeCell ref="AS54:AS55"/>
    <mergeCell ref="AT54:AT55"/>
    <mergeCell ref="AV54:AV55"/>
    <mergeCell ref="T54:Y55"/>
    <mergeCell ref="X52:Y53"/>
    <mergeCell ref="AH54:AI55"/>
    <mergeCell ref="AH52:AI53"/>
    <mergeCell ref="AJ52:AK53"/>
  </mergeCells>
  <printOptions/>
  <pageMargins left="0.4724409448818898" right="0.4724409448818898" top="0.5511811023622047" bottom="0.5511811023622047" header="0.31496062992125984" footer="0.31496062992125984"/>
  <pageSetup horizontalDpi="300" verticalDpi="300" orientation="portrait" paperSize="9" scale="98" r:id="rId1"/>
  <headerFooter>
    <oddFooter>&amp;C&amp;[４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U91"/>
  <sheetViews>
    <sheetView zoomScalePageLayoutView="0" workbookViewId="0" topLeftCell="A28">
      <selection activeCell="AP54" sqref="AP54:AQ55"/>
    </sheetView>
  </sheetViews>
  <sheetFormatPr defaultColWidth="2.125" defaultRowHeight="9" customHeight="1"/>
  <cols>
    <col min="1" max="25" width="2.125" style="52" customWidth="1"/>
    <col min="26" max="41" width="2.125" style="53" customWidth="1"/>
    <col min="42" max="43" width="2.125" style="52" customWidth="1"/>
    <col min="44" max="44" width="6.25390625" style="52" hidden="1" customWidth="1"/>
    <col min="45" max="46" width="5.75390625" style="52" hidden="1" customWidth="1"/>
    <col min="47" max="47" width="6.25390625" style="52" hidden="1" customWidth="1"/>
    <col min="48" max="60" width="0" style="52" hidden="1" customWidth="1"/>
    <col min="61" max="61" width="1.625" style="52" customWidth="1"/>
    <col min="62" max="62" width="3.125" style="52" hidden="1" customWidth="1"/>
    <col min="63" max="63" width="4.125" style="52" hidden="1" customWidth="1"/>
    <col min="64" max="64" width="1.625" style="52" hidden="1" customWidth="1"/>
    <col min="65" max="65" width="3.25390625" style="52" hidden="1" customWidth="1"/>
    <col min="66" max="66" width="4.375" style="52" hidden="1" customWidth="1"/>
    <col min="67" max="67" width="2.125" style="52" hidden="1" customWidth="1"/>
    <col min="68" max="68" width="2.375" style="52" hidden="1" customWidth="1"/>
    <col min="69" max="69" width="4.375" style="52" hidden="1" customWidth="1"/>
    <col min="70" max="70" width="4.125" style="52" hidden="1" customWidth="1"/>
    <col min="71" max="71" width="6.50390625" style="52" hidden="1" customWidth="1"/>
    <col min="72" max="72" width="16.375" style="52" hidden="1" customWidth="1"/>
    <col min="73" max="73" width="3.25390625" style="52" hidden="1" customWidth="1"/>
    <col min="74" max="74" width="0" style="52" hidden="1" customWidth="1"/>
    <col min="75" max="16384" width="2.125" style="52" customWidth="1"/>
  </cols>
  <sheetData>
    <row r="2" spans="2:43" ht="9" customHeight="1">
      <c r="B2" s="378" t="str">
        <f>'予選'!B2</f>
        <v>★予選リーグ　８月５日（土）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81" t="str">
        <f>'予選'!V2</f>
        <v>予選　　　　　　１５分―５分―１５分</v>
      </c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</row>
    <row r="3" spans="2:43" ht="9" customHeight="1"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</row>
    <row r="4" spans="2:43" ht="9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381" t="str">
        <f>'予選'!V4</f>
        <v>順位決定戦　　　１５分―５分―１５分</v>
      </c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</row>
    <row r="5" spans="22:43" ht="9" customHeight="1"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</row>
    <row r="6" spans="2:19" ht="9" customHeight="1" thickBot="1">
      <c r="B6" s="382" t="s">
        <v>61</v>
      </c>
      <c r="C6" s="382"/>
      <c r="D6" s="378" t="str">
        <f>'時間表'!R35</f>
        <v>鴻池投擲場Ｇ</v>
      </c>
      <c r="E6" s="379"/>
      <c r="F6" s="379"/>
      <c r="G6" s="379"/>
      <c r="H6" s="379"/>
      <c r="I6" s="378"/>
      <c r="J6" s="378"/>
      <c r="K6" s="378"/>
      <c r="L6" s="378"/>
      <c r="M6" s="378"/>
      <c r="N6" s="378"/>
      <c r="O6" s="378"/>
      <c r="P6" s="378"/>
      <c r="Q6" s="54"/>
      <c r="R6" s="54"/>
      <c r="S6" s="54"/>
    </row>
    <row r="7" spans="2:19" ht="9" customHeight="1">
      <c r="B7" s="382"/>
      <c r="C7" s="382"/>
      <c r="D7" s="378"/>
      <c r="E7" s="380"/>
      <c r="F7" s="380"/>
      <c r="G7" s="380"/>
      <c r="H7" s="380"/>
      <c r="I7" s="380"/>
      <c r="J7" s="380"/>
      <c r="K7" s="380"/>
      <c r="L7" s="380"/>
      <c r="M7" s="378"/>
      <c r="N7" s="378"/>
      <c r="O7" s="378"/>
      <c r="P7" s="378"/>
      <c r="Q7" s="54"/>
      <c r="R7" s="54"/>
      <c r="S7" s="54"/>
    </row>
    <row r="8" spans="5:12" ht="9" customHeight="1" thickBot="1">
      <c r="E8" s="208"/>
      <c r="F8" s="208"/>
      <c r="G8" s="208"/>
      <c r="H8" s="208"/>
      <c r="I8" s="208"/>
      <c r="J8" s="208"/>
      <c r="K8" s="208"/>
      <c r="L8" s="208"/>
    </row>
    <row r="9" spans="2:57" ht="9" customHeight="1" thickBot="1">
      <c r="B9" s="383" t="str">
        <f>'時間表'!P34</f>
        <v>D</v>
      </c>
      <c r="C9" s="384"/>
      <c r="D9" s="387" t="s">
        <v>79</v>
      </c>
      <c r="E9" s="388"/>
      <c r="F9" s="388"/>
      <c r="G9" s="389"/>
      <c r="H9" s="272" t="str">
        <f>B11</f>
        <v>富　雄</v>
      </c>
      <c r="I9" s="272"/>
      <c r="J9" s="272"/>
      <c r="K9" s="306"/>
      <c r="L9" s="306"/>
      <c r="M9" s="278"/>
      <c r="N9" s="278" t="str">
        <f>B13</f>
        <v>センチュリー</v>
      </c>
      <c r="O9" s="278"/>
      <c r="P9" s="278"/>
      <c r="Q9" s="278"/>
      <c r="R9" s="278"/>
      <c r="S9" s="278"/>
      <c r="T9" s="278" t="str">
        <f>B15</f>
        <v>高石中央</v>
      </c>
      <c r="U9" s="278"/>
      <c r="V9" s="278"/>
      <c r="W9" s="278"/>
      <c r="X9" s="278"/>
      <c r="Y9" s="278"/>
      <c r="Z9" s="271" t="s">
        <v>62</v>
      </c>
      <c r="AA9" s="271"/>
      <c r="AB9" s="271" t="s">
        <v>63</v>
      </c>
      <c r="AC9" s="271"/>
      <c r="AD9" s="271" t="s">
        <v>64</v>
      </c>
      <c r="AE9" s="271"/>
      <c r="AF9" s="271" t="s">
        <v>67</v>
      </c>
      <c r="AG9" s="271"/>
      <c r="AH9" s="271" t="s">
        <v>65</v>
      </c>
      <c r="AI9" s="271"/>
      <c r="AJ9" s="278" t="s">
        <v>69</v>
      </c>
      <c r="AK9" s="278"/>
      <c r="AL9" s="271" t="s">
        <v>66</v>
      </c>
      <c r="AM9" s="271"/>
      <c r="AN9" s="271" t="s">
        <v>68</v>
      </c>
      <c r="AO9" s="271"/>
      <c r="AP9" s="291" t="s">
        <v>83</v>
      </c>
      <c r="AQ9" s="292"/>
      <c r="AR9" s="310" t="s">
        <v>57</v>
      </c>
      <c r="AS9" s="310" t="s">
        <v>59</v>
      </c>
      <c r="AT9" s="310" t="s">
        <v>58</v>
      </c>
      <c r="AU9" s="310" t="s">
        <v>60</v>
      </c>
      <c r="AZ9" s="392" t="str">
        <f>B9</f>
        <v>D</v>
      </c>
      <c r="BA9" s="254"/>
      <c r="BB9" s="254" t="s">
        <v>88</v>
      </c>
      <c r="BC9" s="254"/>
      <c r="BD9" s="254"/>
      <c r="BE9" s="281"/>
    </row>
    <row r="10" spans="2:57" ht="9" customHeight="1">
      <c r="B10" s="385"/>
      <c r="C10" s="386"/>
      <c r="D10" s="390"/>
      <c r="E10" s="390"/>
      <c r="F10" s="390"/>
      <c r="G10" s="391"/>
      <c r="H10" s="278"/>
      <c r="I10" s="278"/>
      <c r="J10" s="278"/>
      <c r="K10" s="272"/>
      <c r="L10" s="272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2"/>
      <c r="AA10" s="272"/>
      <c r="AB10" s="272"/>
      <c r="AC10" s="272"/>
      <c r="AD10" s="272"/>
      <c r="AE10" s="272"/>
      <c r="AF10" s="277"/>
      <c r="AG10" s="277"/>
      <c r="AH10" s="272"/>
      <c r="AI10" s="272"/>
      <c r="AJ10" s="278"/>
      <c r="AK10" s="278"/>
      <c r="AL10" s="272"/>
      <c r="AM10" s="272"/>
      <c r="AN10" s="277"/>
      <c r="AO10" s="277"/>
      <c r="AP10" s="293"/>
      <c r="AQ10" s="294"/>
      <c r="AR10" s="310"/>
      <c r="AS10" s="310"/>
      <c r="AT10" s="310"/>
      <c r="AU10" s="310"/>
      <c r="AZ10" s="335"/>
      <c r="BA10" s="255"/>
      <c r="BB10" s="255"/>
      <c r="BC10" s="255"/>
      <c r="BD10" s="255"/>
      <c r="BE10" s="282"/>
    </row>
    <row r="11" spans="1:73" ht="9" customHeight="1">
      <c r="A11" s="263">
        <f>AN11</f>
        <v>3</v>
      </c>
      <c r="B11" s="264" t="str">
        <f>'時間表'!Q35</f>
        <v>富　雄</v>
      </c>
      <c r="C11" s="265"/>
      <c r="D11" s="265"/>
      <c r="E11" s="265"/>
      <c r="F11" s="265"/>
      <c r="G11" s="266"/>
      <c r="H11" s="393"/>
      <c r="I11" s="393"/>
      <c r="J11" s="393"/>
      <c r="K11" s="393"/>
      <c r="L11" s="393"/>
      <c r="M11" s="394"/>
      <c r="N11" s="261" t="str">
        <f>IF(O11="","",IF(O11&gt;R11,"○",IF(O11&lt;R11,"●","△")))</f>
        <v>●</v>
      </c>
      <c r="O11" s="254">
        <f>IF('時間表'!J19="","",'時間表'!J19)</f>
        <v>0</v>
      </c>
      <c r="P11" s="254"/>
      <c r="Q11" s="34"/>
      <c r="R11" s="254">
        <f>IF('時間表'!L19="","",'時間表'!L19)</f>
        <v>4</v>
      </c>
      <c r="S11" s="254"/>
      <c r="T11" s="261" t="str">
        <f>IF(U11="","",IF(U11&gt;X11,"○",IF(U11&lt;X11,"●","△")))</f>
        <v>●</v>
      </c>
      <c r="U11" s="254">
        <f>IF('時間表'!J21="","",'時間表'!J21)</f>
        <v>0</v>
      </c>
      <c r="V11" s="254"/>
      <c r="W11" s="34"/>
      <c r="X11" s="254">
        <f>IF('時間表'!L21="","",'時間表'!L21)</f>
        <v>1</v>
      </c>
      <c r="Y11" s="254"/>
      <c r="Z11" s="267">
        <f>IF('時間表'!J19="","",COUNTIF($H11:$Y12,"○"))</f>
        <v>0</v>
      </c>
      <c r="AA11" s="268"/>
      <c r="AB11" s="267">
        <f>IF('時間表'!J19="","",COUNTIF($H11:$Y12,"△"))</f>
        <v>0</v>
      </c>
      <c r="AC11" s="268"/>
      <c r="AD11" s="267">
        <f>IF('時間表'!J19="","",COUNTIF($H11:$Y12,"●"))</f>
        <v>2</v>
      </c>
      <c r="AE11" s="268"/>
      <c r="AF11" s="260">
        <f>_xlfn.IFERROR(Z11*3+AB11,"")</f>
        <v>0</v>
      </c>
      <c r="AG11" s="260"/>
      <c r="AH11" s="256">
        <f>_xlfn.IFERROR(O11+U11,"")</f>
        <v>0</v>
      </c>
      <c r="AI11" s="257"/>
      <c r="AJ11" s="260">
        <f>_xlfn.IFERROR(R11+X11,"")</f>
        <v>5</v>
      </c>
      <c r="AK11" s="260"/>
      <c r="AL11" s="279">
        <f>_xlfn.IFERROR(AH11-AJ11,"")</f>
        <v>-5</v>
      </c>
      <c r="AM11" s="280"/>
      <c r="AN11" s="260">
        <f>IF('時間表'!J19="","",RANK(AU11,$AU$11:$AU$16,1))</f>
        <v>3</v>
      </c>
      <c r="AO11" s="260"/>
      <c r="AP11" s="311">
        <f>_xlfn.IFERROR(AZ11,"")</f>
        <v>5</v>
      </c>
      <c r="AQ11" s="311"/>
      <c r="AR11" s="250">
        <f>_xlfn.IFERROR(100*RANK(AF11,AF11:AG16,0),"")</f>
        <v>300</v>
      </c>
      <c r="AS11" s="250">
        <f>_xlfn.IFERROR(10*RANK(AL11,AL11:AM16,0),"")</f>
        <v>30</v>
      </c>
      <c r="AT11" s="250">
        <f>_xlfn.IFERROR(RANK(AH11,AH11:AI16,0),"")</f>
        <v>3</v>
      </c>
      <c r="AU11" s="250">
        <f>_xlfn.IFERROR(SUM(AR11:AT12),"")</f>
        <v>333</v>
      </c>
      <c r="AZ11" s="278">
        <f>VLOOKUP(BA11,BT11:BU22,2,0)</f>
        <v>5</v>
      </c>
      <c r="BA11" s="278" t="str">
        <f>B11</f>
        <v>富　雄</v>
      </c>
      <c r="BB11" s="278"/>
      <c r="BC11" s="278"/>
      <c r="BD11" s="278"/>
      <c r="BE11" s="278"/>
      <c r="BJ11" s="375" t="str">
        <f>G27</f>
        <v>高石中央</v>
      </c>
      <c r="BK11" s="375"/>
      <c r="BL11" s="375"/>
      <c r="BM11" s="375"/>
      <c r="BN11" s="376" t="str">
        <f>IF(L27&gt;L30,"1",IF(L27&lt;L30,"2","0"))</f>
        <v>1</v>
      </c>
      <c r="BO11" s="376"/>
      <c r="BP11" s="375" t="str">
        <f>IF(N27&gt;N30,"1",IF(N27&lt;N30,"2","0"))</f>
        <v>0</v>
      </c>
      <c r="BQ11" s="375"/>
      <c r="BR11" s="375">
        <f>BN11+BP11</f>
        <v>1</v>
      </c>
      <c r="BS11" s="375"/>
      <c r="BT11" s="377" t="str">
        <f>BJ11</f>
        <v>高石中央</v>
      </c>
      <c r="BU11" s="377">
        <f>BR11</f>
        <v>1</v>
      </c>
    </row>
    <row r="12" spans="1:73" ht="9" customHeight="1">
      <c r="A12" s="263"/>
      <c r="B12" s="264"/>
      <c r="C12" s="265"/>
      <c r="D12" s="265"/>
      <c r="E12" s="265"/>
      <c r="F12" s="265"/>
      <c r="G12" s="266"/>
      <c r="H12" s="275"/>
      <c r="I12" s="275"/>
      <c r="J12" s="255"/>
      <c r="K12" s="275"/>
      <c r="L12" s="275"/>
      <c r="M12" s="276"/>
      <c r="N12" s="262"/>
      <c r="O12" s="255"/>
      <c r="P12" s="255"/>
      <c r="Q12" s="35"/>
      <c r="R12" s="255"/>
      <c r="S12" s="255"/>
      <c r="T12" s="262"/>
      <c r="U12" s="255"/>
      <c r="V12" s="255"/>
      <c r="W12" s="35"/>
      <c r="X12" s="255"/>
      <c r="Y12" s="255"/>
      <c r="Z12" s="269"/>
      <c r="AA12" s="270"/>
      <c r="AB12" s="269"/>
      <c r="AC12" s="270"/>
      <c r="AD12" s="269"/>
      <c r="AE12" s="270"/>
      <c r="AF12" s="260"/>
      <c r="AG12" s="260"/>
      <c r="AH12" s="258"/>
      <c r="AI12" s="259"/>
      <c r="AJ12" s="260"/>
      <c r="AK12" s="260"/>
      <c r="AL12" s="279"/>
      <c r="AM12" s="280"/>
      <c r="AN12" s="260"/>
      <c r="AO12" s="260"/>
      <c r="AP12" s="311"/>
      <c r="AQ12" s="311"/>
      <c r="AR12" s="250"/>
      <c r="AS12" s="250"/>
      <c r="AT12" s="250"/>
      <c r="AU12" s="250"/>
      <c r="AZ12" s="278"/>
      <c r="BA12" s="278"/>
      <c r="BB12" s="278"/>
      <c r="BC12" s="278"/>
      <c r="BD12" s="278"/>
      <c r="BE12" s="278"/>
      <c r="BJ12" s="375"/>
      <c r="BK12" s="375"/>
      <c r="BL12" s="375"/>
      <c r="BM12" s="375"/>
      <c r="BN12" s="376"/>
      <c r="BO12" s="376"/>
      <c r="BP12" s="375"/>
      <c r="BQ12" s="375"/>
      <c r="BR12" s="375"/>
      <c r="BS12" s="375"/>
      <c r="BT12" s="377"/>
      <c r="BU12" s="377"/>
    </row>
    <row r="13" spans="1:73" ht="9" customHeight="1">
      <c r="A13" s="263">
        <f>AN13</f>
        <v>2</v>
      </c>
      <c r="B13" s="335" t="str">
        <f>'時間表'!Q36</f>
        <v>センチュリー</v>
      </c>
      <c r="C13" s="255"/>
      <c r="D13" s="336"/>
      <c r="E13" s="337"/>
      <c r="F13" s="255"/>
      <c r="G13" s="282"/>
      <c r="H13" s="395" t="str">
        <f>IF(I13="","",IF(I13&gt;L13,"○",IF(I13&lt;L13,"●","△")))</f>
        <v>○</v>
      </c>
      <c r="I13" s="396">
        <f>R11</f>
        <v>4</v>
      </c>
      <c r="J13" s="318"/>
      <c r="K13" s="41"/>
      <c r="L13" s="318">
        <f>O11</f>
        <v>0</v>
      </c>
      <c r="M13" s="397"/>
      <c r="N13" s="398"/>
      <c r="O13" s="275"/>
      <c r="P13" s="338"/>
      <c r="Q13" s="252"/>
      <c r="R13" s="252"/>
      <c r="S13" s="252"/>
      <c r="T13" s="261" t="str">
        <f>IF(U13="","",IF(U13&gt;X13,"○",IF(U13&lt;X13,"●","△")))</f>
        <v>●</v>
      </c>
      <c r="U13" s="254">
        <f>IF('時間表'!J23="","",'時間表'!J23)</f>
        <v>1</v>
      </c>
      <c r="V13" s="254"/>
      <c r="W13" s="34"/>
      <c r="X13" s="254">
        <f>IF('時間表'!L23="","",'時間表'!L23)</f>
        <v>3</v>
      </c>
      <c r="Y13" s="254"/>
      <c r="Z13" s="267">
        <f>IF('時間表'!L19="","",COUNTIF($H13:$Y14,"○"))</f>
        <v>1</v>
      </c>
      <c r="AA13" s="268"/>
      <c r="AB13" s="267">
        <f>IF('時間表'!L19="","",COUNTIF($H13:$Y14,"△"))</f>
        <v>0</v>
      </c>
      <c r="AC13" s="268"/>
      <c r="AD13" s="267">
        <f>IF('時間表'!L19="","",COUNTIF($H13:$Y14,"●"))</f>
        <v>1</v>
      </c>
      <c r="AE13" s="268"/>
      <c r="AF13" s="260">
        <f>_xlfn.IFERROR(Z13*3+AB13,"")</f>
        <v>3</v>
      </c>
      <c r="AG13" s="260"/>
      <c r="AH13" s="256">
        <f>_xlfn.IFERROR(I13+U13,"")</f>
        <v>5</v>
      </c>
      <c r="AI13" s="257"/>
      <c r="AJ13" s="260">
        <f>_xlfn.IFERROR(L13+X13,"")</f>
        <v>3</v>
      </c>
      <c r="AK13" s="260"/>
      <c r="AL13" s="279">
        <f>_xlfn.IFERROR(AH13-AJ13,"")</f>
        <v>2</v>
      </c>
      <c r="AM13" s="280"/>
      <c r="AN13" s="260">
        <f>IF('時間表'!L19="","",RANK(AU13,$AU$11:$AU$16,1))</f>
        <v>2</v>
      </c>
      <c r="AO13" s="260"/>
      <c r="AP13" s="311">
        <f>_xlfn.IFERROR(AZ13,"")</f>
        <v>4</v>
      </c>
      <c r="AQ13" s="311"/>
      <c r="AR13" s="250">
        <f>_xlfn.IFERROR(100*RANK(AF13,AF11:AG16,0),"")</f>
        <v>200</v>
      </c>
      <c r="AS13" s="250">
        <f>_xlfn.IFERROR(10*RANK(AL13,AL11:AM16,0),"")</f>
        <v>20</v>
      </c>
      <c r="AT13" s="250">
        <f>_xlfn.IFERROR(RANK(AH13,AH11:AI16,0),"")</f>
        <v>1</v>
      </c>
      <c r="AU13" s="250">
        <f>_xlfn.IFERROR(SUM(AR13:AT14),"")</f>
        <v>221</v>
      </c>
      <c r="AZ13" s="278">
        <f>VLOOKUP(BA13,BT11:BU22,2,0)</f>
        <v>4</v>
      </c>
      <c r="BA13" s="278" t="str">
        <f>B13</f>
        <v>センチュリー</v>
      </c>
      <c r="BB13" s="278"/>
      <c r="BC13" s="278"/>
      <c r="BD13" s="278"/>
      <c r="BE13" s="278"/>
      <c r="BJ13" s="375" t="str">
        <f>G30</f>
        <v>FCうりぼう</v>
      </c>
      <c r="BK13" s="375"/>
      <c r="BL13" s="375"/>
      <c r="BM13" s="375"/>
      <c r="BN13" s="376" t="str">
        <f>IF(L27&gt;L30,"2",IF(L27&lt;L30,"1","0"))</f>
        <v>2</v>
      </c>
      <c r="BO13" s="376"/>
      <c r="BP13" s="375" t="str">
        <f>IF(N27&gt;N30,"2",IF(N27&lt;N30,"1","0"))</f>
        <v>0</v>
      </c>
      <c r="BQ13" s="375"/>
      <c r="BR13" s="375">
        <f>BN13+BP13</f>
        <v>2</v>
      </c>
      <c r="BS13" s="375"/>
      <c r="BT13" s="377" t="str">
        <f>BJ13</f>
        <v>FCうりぼう</v>
      </c>
      <c r="BU13" s="377">
        <f>BR13</f>
        <v>2</v>
      </c>
    </row>
    <row r="14" spans="1:73" ht="9" customHeight="1">
      <c r="A14" s="263"/>
      <c r="B14" s="264"/>
      <c r="C14" s="265"/>
      <c r="D14" s="331"/>
      <c r="E14" s="332"/>
      <c r="F14" s="265"/>
      <c r="G14" s="266"/>
      <c r="H14" s="262"/>
      <c r="I14" s="337"/>
      <c r="J14" s="255"/>
      <c r="K14" s="35"/>
      <c r="L14" s="255"/>
      <c r="M14" s="282"/>
      <c r="N14" s="251"/>
      <c r="O14" s="252"/>
      <c r="P14" s="339"/>
      <c r="Q14" s="252"/>
      <c r="R14" s="252"/>
      <c r="S14" s="252"/>
      <c r="T14" s="262"/>
      <c r="U14" s="255"/>
      <c r="V14" s="255"/>
      <c r="W14" s="35"/>
      <c r="X14" s="255"/>
      <c r="Y14" s="255"/>
      <c r="Z14" s="269"/>
      <c r="AA14" s="270"/>
      <c r="AB14" s="269"/>
      <c r="AC14" s="270"/>
      <c r="AD14" s="269"/>
      <c r="AE14" s="270"/>
      <c r="AF14" s="260"/>
      <c r="AG14" s="260"/>
      <c r="AH14" s="258"/>
      <c r="AI14" s="259"/>
      <c r="AJ14" s="260"/>
      <c r="AK14" s="260"/>
      <c r="AL14" s="279"/>
      <c r="AM14" s="280"/>
      <c r="AN14" s="260"/>
      <c r="AO14" s="260"/>
      <c r="AP14" s="311"/>
      <c r="AQ14" s="311"/>
      <c r="AR14" s="250"/>
      <c r="AS14" s="250"/>
      <c r="AT14" s="250"/>
      <c r="AU14" s="250"/>
      <c r="AZ14" s="278"/>
      <c r="BA14" s="278"/>
      <c r="BB14" s="278"/>
      <c r="BC14" s="278"/>
      <c r="BD14" s="278"/>
      <c r="BE14" s="278"/>
      <c r="BJ14" s="375"/>
      <c r="BK14" s="375"/>
      <c r="BL14" s="375"/>
      <c r="BM14" s="375"/>
      <c r="BN14" s="376"/>
      <c r="BO14" s="376"/>
      <c r="BP14" s="375"/>
      <c r="BQ14" s="375"/>
      <c r="BR14" s="375"/>
      <c r="BS14" s="375"/>
      <c r="BT14" s="377"/>
      <c r="BU14" s="377"/>
    </row>
    <row r="15" spans="1:73" ht="9" customHeight="1">
      <c r="A15" s="263">
        <f>AN15</f>
        <v>1</v>
      </c>
      <c r="B15" s="264" t="str">
        <f>'時間表'!Q37</f>
        <v>高石中央</v>
      </c>
      <c r="C15" s="265"/>
      <c r="D15" s="331"/>
      <c r="E15" s="332"/>
      <c r="F15" s="265"/>
      <c r="G15" s="266"/>
      <c r="H15" s="261" t="str">
        <f>IF(I15="","",IF(I15&gt;L15,"○",IF(I15&lt;L15,"●","△")))</f>
        <v>○</v>
      </c>
      <c r="I15" s="333">
        <f>X11</f>
        <v>1</v>
      </c>
      <c r="J15" s="254"/>
      <c r="K15" s="34"/>
      <c r="L15" s="254">
        <f>U11</f>
        <v>0</v>
      </c>
      <c r="M15" s="281"/>
      <c r="N15" s="261" t="str">
        <f>IF(O15="","",IF(O15&gt;R15,"○",IF(O15&lt;R15,"●","△")))</f>
        <v>○</v>
      </c>
      <c r="O15" s="254">
        <f>X13</f>
        <v>3</v>
      </c>
      <c r="P15" s="334"/>
      <c r="Q15" s="34"/>
      <c r="R15" s="254">
        <f>U13</f>
        <v>1</v>
      </c>
      <c r="S15" s="281"/>
      <c r="T15" s="251"/>
      <c r="U15" s="252"/>
      <c r="V15" s="252"/>
      <c r="W15" s="252"/>
      <c r="X15" s="252"/>
      <c r="Y15" s="253"/>
      <c r="Z15" s="267">
        <f>IF('時間表'!L21="","",COUNTIF($H15:$Y16,"○"))</f>
        <v>2</v>
      </c>
      <c r="AA15" s="268"/>
      <c r="AB15" s="267">
        <f>IF('時間表'!L21="","",COUNTIF($H15:$Y16,"△"))</f>
        <v>0</v>
      </c>
      <c r="AC15" s="268"/>
      <c r="AD15" s="267">
        <f>IF('時間表'!L21="","",COUNTIF($H15:$Y16,"●"))</f>
        <v>0</v>
      </c>
      <c r="AE15" s="268"/>
      <c r="AF15" s="260">
        <f>_xlfn.IFERROR(Z15*3+AB15,"")</f>
        <v>6</v>
      </c>
      <c r="AG15" s="260"/>
      <c r="AH15" s="256">
        <f>_xlfn.IFERROR(O15+I15,"")</f>
        <v>4</v>
      </c>
      <c r="AI15" s="257"/>
      <c r="AJ15" s="260">
        <f>_xlfn.IFERROR(R15+L15,"")</f>
        <v>1</v>
      </c>
      <c r="AK15" s="260"/>
      <c r="AL15" s="279">
        <f>_xlfn.IFERROR(AH15-AJ15,"")</f>
        <v>3</v>
      </c>
      <c r="AM15" s="280"/>
      <c r="AN15" s="260">
        <f>IF('時間表'!L21="","",RANK(AU15,$AU$11:$AU$16,1))</f>
        <v>1</v>
      </c>
      <c r="AO15" s="260"/>
      <c r="AP15" s="311">
        <f>_xlfn.IFERROR(AZ15,"")</f>
        <v>1</v>
      </c>
      <c r="AQ15" s="311"/>
      <c r="AR15" s="250">
        <f>_xlfn.IFERROR(100*RANK(AF15,AF11:AG16,0),"")</f>
        <v>100</v>
      </c>
      <c r="AS15" s="250">
        <f>_xlfn.IFERROR(10*RANK(AL15,AL11:AM16,0),"")</f>
        <v>10</v>
      </c>
      <c r="AT15" s="250">
        <f>_xlfn.IFERROR(RANK(AH15,AH11:AI16,0),"")</f>
        <v>2</v>
      </c>
      <c r="AU15" s="250">
        <f>_xlfn.IFERROR(SUM(AR15:AT16),"")</f>
        <v>112</v>
      </c>
      <c r="AZ15" s="278">
        <f>VLOOKUP(BA15,BT11:BU22,2,0)</f>
        <v>1</v>
      </c>
      <c r="BA15" s="278" t="str">
        <f>B15</f>
        <v>高石中央</v>
      </c>
      <c r="BB15" s="278"/>
      <c r="BC15" s="278"/>
      <c r="BD15" s="278"/>
      <c r="BE15" s="278"/>
      <c r="BJ15" s="375" t="str">
        <f>U27</f>
        <v>センチュリー</v>
      </c>
      <c r="BK15" s="375"/>
      <c r="BL15" s="375"/>
      <c r="BM15" s="375"/>
      <c r="BN15" s="376" t="str">
        <f>IF(Z27&gt;Z30,"3",IF(Z27&lt;Z30,"4","0"))</f>
        <v>4</v>
      </c>
      <c r="BO15" s="376"/>
      <c r="BP15" s="375" t="str">
        <f>IF(AB27&gt;AB30,"3",IF(AB27&lt;AB30,"4","0"))</f>
        <v>0</v>
      </c>
      <c r="BQ15" s="375"/>
      <c r="BR15" s="375">
        <f>BN15+BP15</f>
        <v>4</v>
      </c>
      <c r="BS15" s="375"/>
      <c r="BT15" s="377" t="str">
        <f>BJ15</f>
        <v>センチュリー</v>
      </c>
      <c r="BU15" s="377">
        <f>BR15</f>
        <v>4</v>
      </c>
    </row>
    <row r="16" spans="1:73" ht="9" customHeight="1">
      <c r="A16" s="263"/>
      <c r="B16" s="264"/>
      <c r="C16" s="265"/>
      <c r="D16" s="265"/>
      <c r="E16" s="265"/>
      <c r="F16" s="265"/>
      <c r="G16" s="266"/>
      <c r="H16" s="262"/>
      <c r="I16" s="255"/>
      <c r="J16" s="255"/>
      <c r="K16" s="35"/>
      <c r="L16" s="255"/>
      <c r="M16" s="282"/>
      <c r="N16" s="262"/>
      <c r="O16" s="255"/>
      <c r="P16" s="255"/>
      <c r="Q16" s="35"/>
      <c r="R16" s="255"/>
      <c r="S16" s="282"/>
      <c r="T16" s="251"/>
      <c r="U16" s="252"/>
      <c r="V16" s="252"/>
      <c r="W16" s="252"/>
      <c r="X16" s="252"/>
      <c r="Y16" s="253"/>
      <c r="Z16" s="269"/>
      <c r="AA16" s="270"/>
      <c r="AB16" s="269"/>
      <c r="AC16" s="270"/>
      <c r="AD16" s="269"/>
      <c r="AE16" s="270"/>
      <c r="AF16" s="260"/>
      <c r="AG16" s="260"/>
      <c r="AH16" s="258"/>
      <c r="AI16" s="259"/>
      <c r="AJ16" s="260"/>
      <c r="AK16" s="260"/>
      <c r="AL16" s="279"/>
      <c r="AM16" s="280"/>
      <c r="AN16" s="260"/>
      <c r="AO16" s="260"/>
      <c r="AP16" s="311"/>
      <c r="AQ16" s="311"/>
      <c r="AR16" s="250"/>
      <c r="AS16" s="250"/>
      <c r="AT16" s="250"/>
      <c r="AU16" s="250"/>
      <c r="AZ16" s="278"/>
      <c r="BA16" s="278"/>
      <c r="BB16" s="278"/>
      <c r="BC16" s="278"/>
      <c r="BD16" s="278"/>
      <c r="BE16" s="278"/>
      <c r="BJ16" s="375"/>
      <c r="BK16" s="375"/>
      <c r="BL16" s="375"/>
      <c r="BM16" s="375"/>
      <c r="BN16" s="376"/>
      <c r="BO16" s="376"/>
      <c r="BP16" s="375"/>
      <c r="BQ16" s="375"/>
      <c r="BR16" s="375"/>
      <c r="BS16" s="375"/>
      <c r="BT16" s="377"/>
      <c r="BU16" s="377"/>
    </row>
    <row r="17" spans="2:73" ht="9" customHeight="1">
      <c r="B17" s="39"/>
      <c r="C17" s="39"/>
      <c r="D17" s="39"/>
      <c r="E17" s="39"/>
      <c r="F17" s="39"/>
      <c r="G17" s="39"/>
      <c r="H17" s="39"/>
      <c r="I17" s="39"/>
      <c r="J17" s="41"/>
      <c r="K17" s="39"/>
      <c r="L17" s="39"/>
      <c r="M17" s="39"/>
      <c r="N17" s="39"/>
      <c r="O17" s="39"/>
      <c r="P17" s="41"/>
      <c r="Q17" s="39"/>
      <c r="R17" s="39"/>
      <c r="S17" s="39"/>
      <c r="T17" s="39"/>
      <c r="U17" s="39"/>
      <c r="V17" s="41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55"/>
      <c r="AI17" s="55"/>
      <c r="AJ17" s="55"/>
      <c r="AK17" s="55"/>
      <c r="AL17" s="39"/>
      <c r="AM17" s="39"/>
      <c r="AN17" s="39"/>
      <c r="AO17" s="39"/>
      <c r="AR17" s="56"/>
      <c r="AS17" s="56"/>
      <c r="AT17" s="56"/>
      <c r="AU17" s="56"/>
      <c r="AZ17" s="278">
        <f>VLOOKUP(BA17,BT11:BU22,2,0)</f>
        <v>6</v>
      </c>
      <c r="BA17" s="278" t="str">
        <f>B20</f>
        <v>アルボーレ</v>
      </c>
      <c r="BB17" s="278"/>
      <c r="BC17" s="278"/>
      <c r="BD17" s="278"/>
      <c r="BE17" s="278"/>
      <c r="BJ17" s="375" t="str">
        <f>U30</f>
        <v>CAOS</v>
      </c>
      <c r="BK17" s="375"/>
      <c r="BL17" s="375"/>
      <c r="BM17" s="375"/>
      <c r="BN17" s="376" t="str">
        <f>IF(Z27&gt;Z30,"4",IF(Z27&lt;Z30,"3","0"))</f>
        <v>3</v>
      </c>
      <c r="BO17" s="376"/>
      <c r="BP17" s="375" t="str">
        <f>IF(AB27&gt;AB30,"4",IF(AB27&lt;AB30,"3","0"))</f>
        <v>0</v>
      </c>
      <c r="BQ17" s="375"/>
      <c r="BR17" s="375">
        <f>BN17+BP17</f>
        <v>3</v>
      </c>
      <c r="BS17" s="375"/>
      <c r="BT17" s="377" t="str">
        <f>BJ17</f>
        <v>CAOS</v>
      </c>
      <c r="BU17" s="377">
        <f>BR17</f>
        <v>3</v>
      </c>
    </row>
    <row r="18" spans="2:73" ht="9" customHeight="1">
      <c r="B18" s="383" t="str">
        <f>B9</f>
        <v>D</v>
      </c>
      <c r="C18" s="384"/>
      <c r="D18" s="387" t="s">
        <v>80</v>
      </c>
      <c r="E18" s="387"/>
      <c r="F18" s="387"/>
      <c r="G18" s="399"/>
      <c r="H18" s="278" t="str">
        <f>B20</f>
        <v>アルボーレ</v>
      </c>
      <c r="I18" s="278"/>
      <c r="J18" s="278"/>
      <c r="K18" s="278"/>
      <c r="L18" s="278"/>
      <c r="M18" s="278"/>
      <c r="N18" s="278" t="str">
        <f>B22</f>
        <v>CAOS</v>
      </c>
      <c r="O18" s="278"/>
      <c r="P18" s="278"/>
      <c r="Q18" s="278"/>
      <c r="R18" s="278"/>
      <c r="S18" s="278"/>
      <c r="T18" s="278" t="str">
        <f>B24</f>
        <v>FCうりぼう</v>
      </c>
      <c r="U18" s="278"/>
      <c r="V18" s="278"/>
      <c r="W18" s="278"/>
      <c r="X18" s="278"/>
      <c r="Y18" s="278"/>
      <c r="Z18" s="271" t="s">
        <v>62</v>
      </c>
      <c r="AA18" s="271"/>
      <c r="AB18" s="271" t="s">
        <v>63</v>
      </c>
      <c r="AC18" s="271"/>
      <c r="AD18" s="271" t="s">
        <v>64</v>
      </c>
      <c r="AE18" s="271"/>
      <c r="AF18" s="271" t="s">
        <v>67</v>
      </c>
      <c r="AG18" s="271"/>
      <c r="AH18" s="271" t="s">
        <v>65</v>
      </c>
      <c r="AI18" s="271"/>
      <c r="AJ18" s="278" t="s">
        <v>69</v>
      </c>
      <c r="AK18" s="278"/>
      <c r="AL18" s="271" t="s">
        <v>66</v>
      </c>
      <c r="AM18" s="271"/>
      <c r="AN18" s="271" t="s">
        <v>68</v>
      </c>
      <c r="AO18" s="271"/>
      <c r="AP18" s="291" t="s">
        <v>83</v>
      </c>
      <c r="AQ18" s="292"/>
      <c r="AR18" s="310" t="s">
        <v>57</v>
      </c>
      <c r="AS18" s="310" t="s">
        <v>59</v>
      </c>
      <c r="AT18" s="310" t="s">
        <v>58</v>
      </c>
      <c r="AU18" s="310" t="s">
        <v>60</v>
      </c>
      <c r="AZ18" s="278"/>
      <c r="BA18" s="278"/>
      <c r="BB18" s="278"/>
      <c r="BC18" s="278"/>
      <c r="BD18" s="278"/>
      <c r="BE18" s="278"/>
      <c r="BJ18" s="375"/>
      <c r="BK18" s="375"/>
      <c r="BL18" s="375"/>
      <c r="BM18" s="375"/>
      <c r="BN18" s="376"/>
      <c r="BO18" s="376"/>
      <c r="BP18" s="375"/>
      <c r="BQ18" s="375"/>
      <c r="BR18" s="375"/>
      <c r="BS18" s="375"/>
      <c r="BT18" s="377"/>
      <c r="BU18" s="377"/>
    </row>
    <row r="19" spans="2:73" ht="9" customHeight="1">
      <c r="B19" s="385"/>
      <c r="C19" s="386"/>
      <c r="D19" s="390"/>
      <c r="E19" s="390"/>
      <c r="F19" s="390"/>
      <c r="G19" s="391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2"/>
      <c r="AA19" s="272"/>
      <c r="AB19" s="272"/>
      <c r="AC19" s="272"/>
      <c r="AD19" s="272"/>
      <c r="AE19" s="272"/>
      <c r="AF19" s="277"/>
      <c r="AG19" s="277"/>
      <c r="AH19" s="272"/>
      <c r="AI19" s="272"/>
      <c r="AJ19" s="278"/>
      <c r="AK19" s="278"/>
      <c r="AL19" s="272"/>
      <c r="AM19" s="272"/>
      <c r="AN19" s="277"/>
      <c r="AO19" s="277"/>
      <c r="AP19" s="293"/>
      <c r="AQ19" s="294"/>
      <c r="AR19" s="310"/>
      <c r="AS19" s="310"/>
      <c r="AT19" s="310"/>
      <c r="AU19" s="310"/>
      <c r="AZ19" s="278">
        <f>VLOOKUP(BA19,BT11:BU22,2,0)</f>
        <v>3</v>
      </c>
      <c r="BA19" s="278" t="str">
        <f>B22</f>
        <v>CAOS</v>
      </c>
      <c r="BB19" s="278"/>
      <c r="BC19" s="278"/>
      <c r="BD19" s="278"/>
      <c r="BE19" s="278"/>
      <c r="BJ19" s="375" t="str">
        <f>AI27</f>
        <v>富　雄</v>
      </c>
      <c r="BK19" s="375"/>
      <c r="BL19" s="375"/>
      <c r="BM19" s="375"/>
      <c r="BN19" s="376" t="str">
        <f>IF(AN27&gt;AN30,"5",IF(AN27&lt;AN30,"6","0"))</f>
        <v>5</v>
      </c>
      <c r="BO19" s="376"/>
      <c r="BP19" s="375" t="str">
        <f>IF(AP27&gt;AP30,"5",IF(AP27&lt;AP30,"6","0"))</f>
        <v>0</v>
      </c>
      <c r="BQ19" s="375"/>
      <c r="BR19" s="375">
        <f>BN19+BP19</f>
        <v>5</v>
      </c>
      <c r="BS19" s="375"/>
      <c r="BT19" s="377" t="str">
        <f>BJ19</f>
        <v>富　雄</v>
      </c>
      <c r="BU19" s="377">
        <f>BR19</f>
        <v>5</v>
      </c>
    </row>
    <row r="20" spans="1:73" ht="9" customHeight="1">
      <c r="A20" s="263">
        <f>AN20</f>
        <v>3</v>
      </c>
      <c r="B20" s="264" t="str">
        <f>'時間表'!Q38</f>
        <v>アルボーレ</v>
      </c>
      <c r="C20" s="265"/>
      <c r="D20" s="265"/>
      <c r="E20" s="265"/>
      <c r="F20" s="265"/>
      <c r="G20" s="266"/>
      <c r="H20" s="273"/>
      <c r="I20" s="273"/>
      <c r="J20" s="273"/>
      <c r="K20" s="273"/>
      <c r="L20" s="273"/>
      <c r="M20" s="274"/>
      <c r="N20" s="49" t="str">
        <f>IF(O20="","",IF(O20&gt;R20,"○",IF(O20&lt;R20,"●","△")))</f>
        <v>●</v>
      </c>
      <c r="O20" s="254">
        <f>IF('時間表'!J20="","",'時間表'!J20)</f>
        <v>0</v>
      </c>
      <c r="P20" s="254"/>
      <c r="Q20" s="34"/>
      <c r="R20" s="254">
        <f>IF('時間表'!L20="","",'時間表'!L20)</f>
        <v>4</v>
      </c>
      <c r="S20" s="254"/>
      <c r="T20" s="261" t="str">
        <f>IF(U20="","",IF(U20&gt;X20,"○",IF(U20&lt;X20,"●","△")))</f>
        <v>△</v>
      </c>
      <c r="U20" s="254">
        <f>IF('時間表'!J22="","",'時間表'!J22)</f>
        <v>2</v>
      </c>
      <c r="V20" s="254"/>
      <c r="W20" s="34"/>
      <c r="X20" s="254">
        <f>IF('時間表'!L22="","",'時間表'!L22)</f>
        <v>2</v>
      </c>
      <c r="Y20" s="254"/>
      <c r="Z20" s="267">
        <f>IF('時間表'!J20="","",COUNTIF($H20:$Y21,"○"))</f>
        <v>0</v>
      </c>
      <c r="AA20" s="268"/>
      <c r="AB20" s="267">
        <f>IF('時間表'!J20="","",COUNTIF($H20:$Y21,"△"))</f>
        <v>1</v>
      </c>
      <c r="AC20" s="268"/>
      <c r="AD20" s="267">
        <f>IF('時間表'!J20="","",COUNTIF($H20:$Y21,"●"))</f>
        <v>1</v>
      </c>
      <c r="AE20" s="268"/>
      <c r="AF20" s="260">
        <f>_xlfn.IFERROR(Z20*3+AB20,"")</f>
        <v>1</v>
      </c>
      <c r="AG20" s="260"/>
      <c r="AH20" s="256">
        <f>_xlfn.IFERROR(O20+U20,"")</f>
        <v>2</v>
      </c>
      <c r="AI20" s="257"/>
      <c r="AJ20" s="260">
        <f>_xlfn.IFERROR(R20+X20,"")</f>
        <v>6</v>
      </c>
      <c r="AK20" s="260"/>
      <c r="AL20" s="279">
        <f>_xlfn.IFERROR(AH20-AJ20,"")</f>
        <v>-4</v>
      </c>
      <c r="AM20" s="280"/>
      <c r="AN20" s="260">
        <f>IF('時間表'!J20="","",RANK(AU20,$AU$20:$AU$25,1))</f>
        <v>3</v>
      </c>
      <c r="AO20" s="260"/>
      <c r="AP20" s="311">
        <f>_xlfn.IFERROR(AZ17,"")</f>
        <v>6</v>
      </c>
      <c r="AQ20" s="311"/>
      <c r="AR20" s="250">
        <f>_xlfn.IFERROR(100*RANK(AF20,AF20:AG25,0),"")</f>
        <v>300</v>
      </c>
      <c r="AS20" s="250">
        <f>_xlfn.IFERROR(10*RANK(AL20,AL20:AM25,0),"")</f>
        <v>30</v>
      </c>
      <c r="AT20" s="250">
        <f>_xlfn.IFERROR(RANK(AH20,AH20:AI25,0),"")</f>
        <v>3</v>
      </c>
      <c r="AU20" s="250">
        <f>_xlfn.IFERROR(SUM(AR20:AT21),"")</f>
        <v>333</v>
      </c>
      <c r="AZ20" s="278"/>
      <c r="BA20" s="278"/>
      <c r="BB20" s="278"/>
      <c r="BC20" s="278"/>
      <c r="BD20" s="278"/>
      <c r="BE20" s="278"/>
      <c r="BJ20" s="375"/>
      <c r="BK20" s="375"/>
      <c r="BL20" s="375"/>
      <c r="BM20" s="375"/>
      <c r="BN20" s="376"/>
      <c r="BO20" s="376"/>
      <c r="BP20" s="375"/>
      <c r="BQ20" s="375"/>
      <c r="BR20" s="375"/>
      <c r="BS20" s="375"/>
      <c r="BT20" s="377"/>
      <c r="BU20" s="377"/>
    </row>
    <row r="21" spans="1:73" ht="9" customHeight="1">
      <c r="A21" s="263"/>
      <c r="B21" s="264"/>
      <c r="C21" s="265"/>
      <c r="D21" s="265"/>
      <c r="E21" s="265"/>
      <c r="F21" s="265"/>
      <c r="G21" s="266"/>
      <c r="H21" s="275"/>
      <c r="I21" s="275"/>
      <c r="J21" s="275"/>
      <c r="K21" s="275"/>
      <c r="L21" s="275"/>
      <c r="M21" s="276"/>
      <c r="N21" s="36"/>
      <c r="O21" s="255"/>
      <c r="P21" s="255"/>
      <c r="Q21" s="35"/>
      <c r="R21" s="255"/>
      <c r="S21" s="255"/>
      <c r="T21" s="262"/>
      <c r="U21" s="255"/>
      <c r="V21" s="255"/>
      <c r="W21" s="35"/>
      <c r="X21" s="255"/>
      <c r="Y21" s="255"/>
      <c r="Z21" s="269"/>
      <c r="AA21" s="270"/>
      <c r="AB21" s="269"/>
      <c r="AC21" s="270"/>
      <c r="AD21" s="269"/>
      <c r="AE21" s="270"/>
      <c r="AF21" s="260"/>
      <c r="AG21" s="260"/>
      <c r="AH21" s="258"/>
      <c r="AI21" s="259"/>
      <c r="AJ21" s="260"/>
      <c r="AK21" s="260"/>
      <c r="AL21" s="279"/>
      <c r="AM21" s="280"/>
      <c r="AN21" s="260"/>
      <c r="AO21" s="260"/>
      <c r="AP21" s="311"/>
      <c r="AQ21" s="311"/>
      <c r="AR21" s="250"/>
      <c r="AS21" s="250"/>
      <c r="AT21" s="250"/>
      <c r="AU21" s="250"/>
      <c r="AZ21" s="278">
        <f>VLOOKUP(BA21,BT11:BU22,2,0)</f>
        <v>2</v>
      </c>
      <c r="BA21" s="278" t="str">
        <f>B24</f>
        <v>FCうりぼう</v>
      </c>
      <c r="BB21" s="278"/>
      <c r="BC21" s="278"/>
      <c r="BD21" s="278"/>
      <c r="BE21" s="278"/>
      <c r="BJ21" s="375" t="str">
        <f>AI30</f>
        <v>アルボーレ</v>
      </c>
      <c r="BK21" s="375"/>
      <c r="BL21" s="375"/>
      <c r="BM21" s="375"/>
      <c r="BN21" s="376" t="str">
        <f>IF(AN27&gt;AN30,"6",IF(AN27&lt;AN30,"5","0"))</f>
        <v>6</v>
      </c>
      <c r="BO21" s="376"/>
      <c r="BP21" s="375" t="str">
        <f>IF(AP27&gt;AP30,"6",IF(AP27&lt;AP30,"5","0"))</f>
        <v>0</v>
      </c>
      <c r="BQ21" s="375"/>
      <c r="BR21" s="375">
        <f>BN21+BP21</f>
        <v>6</v>
      </c>
      <c r="BS21" s="375"/>
      <c r="BT21" s="377" t="str">
        <f>BJ21</f>
        <v>アルボーレ</v>
      </c>
      <c r="BU21" s="377">
        <f>BR21</f>
        <v>6</v>
      </c>
    </row>
    <row r="22" spans="1:73" ht="9" customHeight="1">
      <c r="A22" s="263">
        <f>AN22</f>
        <v>2</v>
      </c>
      <c r="B22" s="340" t="str">
        <f>'時間表'!Q39</f>
        <v>CAOS</v>
      </c>
      <c r="C22" s="265"/>
      <c r="D22" s="265"/>
      <c r="E22" s="265"/>
      <c r="F22" s="265"/>
      <c r="G22" s="266"/>
      <c r="H22" s="261" t="str">
        <f>IF(I22="","",IF(I22&gt;L22,"○",IF(I22&lt;L22,"●","△")))</f>
        <v>○</v>
      </c>
      <c r="I22" s="254">
        <f>R20</f>
        <v>4</v>
      </c>
      <c r="J22" s="254"/>
      <c r="K22" s="34"/>
      <c r="L22" s="254">
        <f>O20</f>
        <v>0</v>
      </c>
      <c r="M22" s="281"/>
      <c r="N22" s="251"/>
      <c r="O22" s="252"/>
      <c r="P22" s="252"/>
      <c r="Q22" s="252"/>
      <c r="R22" s="252"/>
      <c r="S22" s="252"/>
      <c r="T22" s="261" t="str">
        <f>IF(U22="","",IF(U22&gt;X22,"○",IF(U22&lt;X22,"●","△")))</f>
        <v>●</v>
      </c>
      <c r="U22" s="254">
        <f>IF('時間表'!J24="","",'時間表'!J24)</f>
        <v>0</v>
      </c>
      <c r="V22" s="254"/>
      <c r="W22" s="34"/>
      <c r="X22" s="254">
        <f>IF('時間表'!L24="","",'時間表'!L24)</f>
        <v>1</v>
      </c>
      <c r="Y22" s="254"/>
      <c r="Z22" s="267">
        <f>IF('時間表'!L20="","",COUNTIF($H22:$Y23,"○"))</f>
        <v>1</v>
      </c>
      <c r="AA22" s="268"/>
      <c r="AB22" s="267">
        <f>IF('時間表'!L20="","",COUNTIF($H22:$Y23,"△"))</f>
        <v>0</v>
      </c>
      <c r="AC22" s="268"/>
      <c r="AD22" s="267">
        <f>IF('時間表'!L20="","",COUNTIF($H22:$Y23,"●"))</f>
        <v>1</v>
      </c>
      <c r="AE22" s="268"/>
      <c r="AF22" s="260">
        <f>_xlfn.IFERROR(Z22*3+AB22,"")</f>
        <v>3</v>
      </c>
      <c r="AG22" s="260"/>
      <c r="AH22" s="256">
        <f>_xlfn.IFERROR(I22+U22,"")</f>
        <v>4</v>
      </c>
      <c r="AI22" s="257"/>
      <c r="AJ22" s="260">
        <f>_xlfn.IFERROR(L22+X22,"")</f>
        <v>1</v>
      </c>
      <c r="AK22" s="260"/>
      <c r="AL22" s="279">
        <f>_xlfn.IFERROR(AH22-AJ22,"")</f>
        <v>3</v>
      </c>
      <c r="AM22" s="280"/>
      <c r="AN22" s="260">
        <f>IF('時間表'!L20="","",RANK(AU22,$AU$20:$AU$25,1))</f>
        <v>2</v>
      </c>
      <c r="AO22" s="260"/>
      <c r="AP22" s="311">
        <f>_xlfn.IFERROR(AZ19,"")</f>
        <v>3</v>
      </c>
      <c r="AQ22" s="311"/>
      <c r="AR22" s="250">
        <f>_xlfn.IFERROR(100*RANK(AF22,AF20:AG25,0),"")</f>
        <v>200</v>
      </c>
      <c r="AS22" s="250">
        <f>_xlfn.IFERROR(10*RANK(AL22,AL20:AM25,0),"")</f>
        <v>10</v>
      </c>
      <c r="AT22" s="250">
        <f>_xlfn.IFERROR(RANK(AH22,AH20:AI25,0),"")</f>
        <v>1</v>
      </c>
      <c r="AU22" s="250">
        <f>_xlfn.IFERROR(SUM(AR22:AT23),"")</f>
        <v>211</v>
      </c>
      <c r="AZ22" s="278"/>
      <c r="BA22" s="278"/>
      <c r="BB22" s="278"/>
      <c r="BC22" s="278"/>
      <c r="BD22" s="278"/>
      <c r="BE22" s="278"/>
      <c r="BJ22" s="375"/>
      <c r="BK22" s="375"/>
      <c r="BL22" s="375"/>
      <c r="BM22" s="375"/>
      <c r="BN22" s="376"/>
      <c r="BO22" s="376"/>
      <c r="BP22" s="375"/>
      <c r="BQ22" s="375"/>
      <c r="BR22" s="375"/>
      <c r="BS22" s="375"/>
      <c r="BT22" s="377"/>
      <c r="BU22" s="377"/>
    </row>
    <row r="23" spans="1:47" ht="9" customHeight="1">
      <c r="A23" s="263"/>
      <c r="B23" s="340"/>
      <c r="C23" s="265"/>
      <c r="D23" s="265"/>
      <c r="E23" s="265"/>
      <c r="F23" s="265"/>
      <c r="G23" s="266"/>
      <c r="H23" s="262"/>
      <c r="I23" s="255"/>
      <c r="J23" s="255"/>
      <c r="K23" s="35"/>
      <c r="L23" s="255"/>
      <c r="M23" s="282"/>
      <c r="N23" s="251"/>
      <c r="O23" s="252"/>
      <c r="P23" s="252"/>
      <c r="Q23" s="252"/>
      <c r="R23" s="252"/>
      <c r="S23" s="252"/>
      <c r="T23" s="262"/>
      <c r="U23" s="255"/>
      <c r="V23" s="255"/>
      <c r="W23" s="35"/>
      <c r="X23" s="255"/>
      <c r="Y23" s="255"/>
      <c r="Z23" s="269"/>
      <c r="AA23" s="270"/>
      <c r="AB23" s="269"/>
      <c r="AC23" s="270"/>
      <c r="AD23" s="269"/>
      <c r="AE23" s="270"/>
      <c r="AF23" s="260"/>
      <c r="AG23" s="260"/>
      <c r="AH23" s="258"/>
      <c r="AI23" s="259"/>
      <c r="AJ23" s="260"/>
      <c r="AK23" s="260"/>
      <c r="AL23" s="279"/>
      <c r="AM23" s="280"/>
      <c r="AN23" s="260"/>
      <c r="AO23" s="260"/>
      <c r="AP23" s="311"/>
      <c r="AQ23" s="311"/>
      <c r="AR23" s="250"/>
      <c r="AS23" s="250"/>
      <c r="AT23" s="250"/>
      <c r="AU23" s="250"/>
    </row>
    <row r="24" spans="1:47" ht="9" customHeight="1" thickBot="1">
      <c r="A24" s="263">
        <f>AN24</f>
        <v>1</v>
      </c>
      <c r="B24" s="340" t="str">
        <f>'時間表'!Q41</f>
        <v>FCうりぼう</v>
      </c>
      <c r="C24" s="254"/>
      <c r="D24" s="254"/>
      <c r="E24" s="265"/>
      <c r="F24" s="265"/>
      <c r="G24" s="266"/>
      <c r="H24" s="261" t="str">
        <f>IF(I24="","",IF(I24&gt;L24,"○",IF(I24&lt;L24,"●","△")))</f>
        <v>△</v>
      </c>
      <c r="I24" s="254">
        <f>X20</f>
        <v>2</v>
      </c>
      <c r="J24" s="254"/>
      <c r="K24" s="34"/>
      <c r="L24" s="254">
        <f>U20</f>
        <v>2</v>
      </c>
      <c r="M24" s="281"/>
      <c r="N24" s="261" t="str">
        <f>IF(O24="","",IF(O24&gt;R24,"○",IF(O24&lt;R24,"●","△")))</f>
        <v>○</v>
      </c>
      <c r="O24" s="254">
        <f>X22</f>
        <v>1</v>
      </c>
      <c r="P24" s="254"/>
      <c r="Q24" s="34"/>
      <c r="R24" s="254">
        <f>U22</f>
        <v>0</v>
      </c>
      <c r="S24" s="281"/>
      <c r="T24" s="251"/>
      <c r="U24" s="252"/>
      <c r="V24" s="252"/>
      <c r="W24" s="252"/>
      <c r="X24" s="252"/>
      <c r="Y24" s="253"/>
      <c r="Z24" s="267">
        <f>IF('時間表'!L22="","",COUNTIF($H24:$Y25,"○"))</f>
        <v>1</v>
      </c>
      <c r="AA24" s="268"/>
      <c r="AB24" s="267">
        <f>IF('時間表'!L22="","",COUNTIF($H24:$Y25,"△"))</f>
        <v>1</v>
      </c>
      <c r="AC24" s="268"/>
      <c r="AD24" s="267">
        <f>IF('時間表'!L22="","",COUNTIF($H24:$Y25,"●"))</f>
        <v>0</v>
      </c>
      <c r="AE24" s="268"/>
      <c r="AF24" s="260">
        <f>_xlfn.IFERROR(Z24*3+AB24,"")</f>
        <v>4</v>
      </c>
      <c r="AG24" s="260"/>
      <c r="AH24" s="256">
        <f>_xlfn.IFERROR(O24+I24,"")</f>
        <v>3</v>
      </c>
      <c r="AI24" s="257"/>
      <c r="AJ24" s="260">
        <f>_xlfn.IFERROR(R24+L24,"")</f>
        <v>2</v>
      </c>
      <c r="AK24" s="260"/>
      <c r="AL24" s="279">
        <f>_xlfn.IFERROR(AH24-AJ24,"")</f>
        <v>1</v>
      </c>
      <c r="AM24" s="280"/>
      <c r="AN24" s="260">
        <f>IF('時間表'!L22="","",RANK(AU24,$AU$20:$AU$25,1))</f>
        <v>1</v>
      </c>
      <c r="AO24" s="260"/>
      <c r="AP24" s="311">
        <f>_xlfn.IFERROR(AZ21,"")</f>
        <v>2</v>
      </c>
      <c r="AQ24" s="311"/>
      <c r="AR24" s="250">
        <f>_xlfn.IFERROR(100*RANK(AF24,AF20:AG25,0),"")</f>
        <v>100</v>
      </c>
      <c r="AS24" s="250">
        <f>_xlfn.IFERROR(10*RANK(AL24,AL20:AM25,0),"")</f>
        <v>20</v>
      </c>
      <c r="AT24" s="250">
        <f>_xlfn.IFERROR(RANK(AH24,AH20:AI25,0),"")</f>
        <v>2</v>
      </c>
      <c r="AU24" s="250">
        <f>_xlfn.IFERROR(SUM(AR24:AT25),"")</f>
        <v>122</v>
      </c>
    </row>
    <row r="25" spans="1:47" ht="9" customHeight="1">
      <c r="A25" s="263"/>
      <c r="B25" s="264"/>
      <c r="C25" s="341"/>
      <c r="D25" s="341"/>
      <c r="E25" s="265"/>
      <c r="F25" s="265"/>
      <c r="G25" s="266"/>
      <c r="H25" s="262"/>
      <c r="I25" s="255"/>
      <c r="J25" s="255"/>
      <c r="K25" s="35"/>
      <c r="L25" s="341"/>
      <c r="M25" s="282"/>
      <c r="N25" s="262"/>
      <c r="O25" s="255"/>
      <c r="P25" s="255"/>
      <c r="Q25" s="35"/>
      <c r="R25" s="255"/>
      <c r="S25" s="282"/>
      <c r="T25" s="251"/>
      <c r="U25" s="252"/>
      <c r="V25" s="252"/>
      <c r="W25" s="252"/>
      <c r="X25" s="252"/>
      <c r="Y25" s="253"/>
      <c r="Z25" s="269"/>
      <c r="AA25" s="270"/>
      <c r="AB25" s="269"/>
      <c r="AC25" s="270"/>
      <c r="AD25" s="269"/>
      <c r="AE25" s="270"/>
      <c r="AF25" s="260"/>
      <c r="AG25" s="260"/>
      <c r="AH25" s="258"/>
      <c r="AI25" s="259"/>
      <c r="AJ25" s="260"/>
      <c r="AK25" s="260"/>
      <c r="AL25" s="279"/>
      <c r="AM25" s="280"/>
      <c r="AN25" s="260"/>
      <c r="AO25" s="260"/>
      <c r="AP25" s="311"/>
      <c r="AQ25" s="311"/>
      <c r="AR25" s="250"/>
      <c r="AS25" s="250"/>
      <c r="AT25" s="250"/>
      <c r="AU25" s="250"/>
    </row>
    <row r="26" spans="1:47" ht="9" customHeight="1">
      <c r="A26" s="40"/>
      <c r="B26" s="39"/>
      <c r="C26" s="39"/>
      <c r="D26" s="39"/>
      <c r="E26" s="227"/>
      <c r="F26" s="227"/>
      <c r="G26" s="227"/>
      <c r="H26" s="41"/>
      <c r="I26" s="227"/>
      <c r="J26" s="41"/>
      <c r="K26" s="41"/>
      <c r="L26" s="227"/>
      <c r="M26" s="39"/>
      <c r="N26" s="41"/>
      <c r="O26" s="39"/>
      <c r="P26" s="39"/>
      <c r="Q26" s="41"/>
      <c r="R26" s="39"/>
      <c r="S26" s="39"/>
      <c r="T26" s="39"/>
      <c r="U26" s="39"/>
      <c r="V26" s="39"/>
      <c r="W26" s="39"/>
      <c r="X26" s="39"/>
      <c r="Y26" s="39"/>
      <c r="Z26" s="45"/>
      <c r="AA26" s="45"/>
      <c r="AB26" s="45"/>
      <c r="AC26" s="45"/>
      <c r="AD26" s="45"/>
      <c r="AE26" s="45"/>
      <c r="AF26" s="39"/>
      <c r="AG26" s="39"/>
      <c r="AH26" s="57"/>
      <c r="AI26" s="57"/>
      <c r="AJ26" s="39"/>
      <c r="AK26" s="39"/>
      <c r="AL26" s="57"/>
      <c r="AM26" s="57"/>
      <c r="AN26" s="58"/>
      <c r="AO26" s="58"/>
      <c r="AR26" s="45"/>
      <c r="AS26" s="45"/>
      <c r="AT26" s="45"/>
      <c r="AU26" s="45"/>
    </row>
    <row r="27" spans="1:43" ht="9" customHeight="1" thickBot="1">
      <c r="A27" s="40"/>
      <c r="B27" s="301" t="s">
        <v>81</v>
      </c>
      <c r="C27" s="301"/>
      <c r="D27" s="301"/>
      <c r="E27" s="301"/>
      <c r="F27" s="319">
        <v>1</v>
      </c>
      <c r="G27" s="295" t="str">
        <f>IF('時間表'!L23="","",VLOOKUP(F27,DⅠ,2,0))</f>
        <v>高石中央</v>
      </c>
      <c r="H27" s="295"/>
      <c r="I27" s="295"/>
      <c r="J27" s="295"/>
      <c r="K27" s="295"/>
      <c r="L27" s="373">
        <f>IF('時間表'!J29="","",'時間表'!J29)</f>
        <v>3</v>
      </c>
      <c r="M27" s="373"/>
      <c r="N27" s="356">
        <f>IF('時間表'!J30="","",'時間表'!J30)</f>
      </c>
      <c r="O27" s="357"/>
      <c r="P27" s="300" t="s">
        <v>84</v>
      </c>
      <c r="Q27" s="301"/>
      <c r="R27" s="301"/>
      <c r="S27" s="301"/>
      <c r="T27" s="319">
        <v>2</v>
      </c>
      <c r="U27" s="297" t="str">
        <f>_xlfn.IFERROR(VLOOKUP(T27,DⅠ,2,0),"")</f>
        <v>センチュリー</v>
      </c>
      <c r="V27" s="297"/>
      <c r="W27" s="297"/>
      <c r="X27" s="297"/>
      <c r="Y27" s="297"/>
      <c r="Z27" s="373">
        <f>IF('時間表'!J27="","",'時間表'!J27)</f>
        <v>1</v>
      </c>
      <c r="AA27" s="373"/>
      <c r="AB27" s="356">
        <f>IF('時間表'!J28="","",'時間表'!J28)</f>
      </c>
      <c r="AC27" s="357"/>
      <c r="AD27" s="300" t="s">
        <v>86</v>
      </c>
      <c r="AE27" s="301"/>
      <c r="AF27" s="301"/>
      <c r="AG27" s="301"/>
      <c r="AH27" s="319">
        <v>3</v>
      </c>
      <c r="AI27" s="297" t="str">
        <f>_xlfn.IFERROR(VLOOKUP(AH27,DⅠ,2,0),"")</f>
        <v>富　雄</v>
      </c>
      <c r="AJ27" s="297"/>
      <c r="AK27" s="297"/>
      <c r="AL27" s="297"/>
      <c r="AM27" s="297"/>
      <c r="AN27" s="373">
        <f>IF('時間表'!J25="","",'時間表'!J25)</f>
        <v>2</v>
      </c>
      <c r="AO27" s="373"/>
      <c r="AP27" s="356">
        <f>IF('時間表'!J26="","",'時間表'!J26)</f>
      </c>
      <c r="AQ27" s="357"/>
    </row>
    <row r="28" spans="1:43" ht="9" customHeight="1" thickBot="1" thickTop="1">
      <c r="A28" s="40"/>
      <c r="B28" s="301"/>
      <c r="C28" s="301"/>
      <c r="D28" s="301"/>
      <c r="E28" s="363"/>
      <c r="F28" s="364"/>
      <c r="G28" s="365"/>
      <c r="H28" s="366"/>
      <c r="I28" s="367"/>
      <c r="J28" s="368"/>
      <c r="K28" s="368"/>
      <c r="L28" s="401"/>
      <c r="M28" s="373"/>
      <c r="N28" s="358"/>
      <c r="O28" s="359"/>
      <c r="P28" s="300"/>
      <c r="Q28" s="301"/>
      <c r="R28" s="301"/>
      <c r="S28" s="301"/>
      <c r="T28" s="320"/>
      <c r="U28" s="298"/>
      <c r="V28" s="298"/>
      <c r="W28" s="298"/>
      <c r="X28" s="298"/>
      <c r="Y28" s="298"/>
      <c r="Z28" s="373"/>
      <c r="AA28" s="373"/>
      <c r="AB28" s="358"/>
      <c r="AC28" s="359"/>
      <c r="AD28" s="300"/>
      <c r="AE28" s="301"/>
      <c r="AF28" s="301"/>
      <c r="AG28" s="301"/>
      <c r="AH28" s="320"/>
      <c r="AI28" s="298"/>
      <c r="AJ28" s="298"/>
      <c r="AK28" s="298"/>
      <c r="AL28" s="298"/>
      <c r="AM28" s="298"/>
      <c r="AN28" s="373"/>
      <c r="AO28" s="373"/>
      <c r="AP28" s="358"/>
      <c r="AQ28" s="359"/>
    </row>
    <row r="29" spans="1:43" ht="9" customHeight="1">
      <c r="A29" s="40"/>
      <c r="B29" s="46"/>
      <c r="C29" s="123"/>
      <c r="D29" s="46"/>
      <c r="E29" s="39"/>
      <c r="F29" s="39"/>
      <c r="G29" s="39"/>
      <c r="H29" s="40"/>
      <c r="I29" s="39"/>
      <c r="J29" s="41"/>
      <c r="K29" s="37"/>
      <c r="L29" s="39"/>
      <c r="M29" s="124"/>
      <c r="N29" s="400" t="s">
        <v>123</v>
      </c>
      <c r="O29" s="400"/>
      <c r="P29" s="46"/>
      <c r="Q29" s="123"/>
      <c r="R29" s="46"/>
      <c r="S29" s="39"/>
      <c r="T29" s="39"/>
      <c r="U29" s="39"/>
      <c r="V29" s="39"/>
      <c r="W29" s="39"/>
      <c r="X29" s="41"/>
      <c r="Y29" s="37"/>
      <c r="Z29" s="39"/>
      <c r="AA29" s="124"/>
      <c r="AB29" s="400" t="s">
        <v>123</v>
      </c>
      <c r="AC29" s="400"/>
      <c r="AD29" s="46"/>
      <c r="AE29" s="123"/>
      <c r="AF29" s="46"/>
      <c r="AG29" s="39"/>
      <c r="AH29" s="39"/>
      <c r="AI29" s="39"/>
      <c r="AJ29" s="39"/>
      <c r="AK29" s="39"/>
      <c r="AL29" s="41"/>
      <c r="AM29" s="37"/>
      <c r="AN29" s="39"/>
      <c r="AO29" s="124"/>
      <c r="AP29" s="400" t="s">
        <v>123</v>
      </c>
      <c r="AQ29" s="400"/>
    </row>
    <row r="30" spans="1:53" ht="9" customHeight="1">
      <c r="A30" s="40"/>
      <c r="B30" s="301" t="s">
        <v>82</v>
      </c>
      <c r="C30" s="301"/>
      <c r="D30" s="301"/>
      <c r="E30" s="301"/>
      <c r="F30" s="319">
        <v>1</v>
      </c>
      <c r="G30" s="295" t="str">
        <f>IF('時間表'!L24="","",VLOOKUP(F30,DⅡ,2,0))</f>
        <v>FCうりぼう</v>
      </c>
      <c r="H30" s="295"/>
      <c r="I30" s="295"/>
      <c r="J30" s="295"/>
      <c r="K30" s="295"/>
      <c r="L30" s="373">
        <f>IF('時間表'!L29="","",'時間表'!L29)</f>
        <v>1</v>
      </c>
      <c r="M30" s="373"/>
      <c r="N30" s="356">
        <f>IF('時間表'!L30="","",'時間表'!L30)</f>
      </c>
      <c r="O30" s="357"/>
      <c r="P30" s="300" t="s">
        <v>85</v>
      </c>
      <c r="Q30" s="301"/>
      <c r="R30" s="301"/>
      <c r="S30" s="301"/>
      <c r="T30" s="319">
        <v>2</v>
      </c>
      <c r="U30" s="297" t="str">
        <f>_xlfn.IFERROR(VLOOKUP(T30,DⅡ,2,0),"")</f>
        <v>CAOS</v>
      </c>
      <c r="V30" s="297"/>
      <c r="W30" s="297"/>
      <c r="X30" s="297"/>
      <c r="Y30" s="297"/>
      <c r="Z30" s="373">
        <f>IF('時間表'!L27="","",'時間表'!L27)</f>
        <v>3</v>
      </c>
      <c r="AA30" s="373"/>
      <c r="AB30" s="356">
        <f>IF('時間表'!L28="","",'時間表'!L28)</f>
      </c>
      <c r="AC30" s="357"/>
      <c r="AD30" s="300" t="s">
        <v>87</v>
      </c>
      <c r="AE30" s="301"/>
      <c r="AF30" s="301"/>
      <c r="AG30" s="301"/>
      <c r="AH30" s="319">
        <v>3</v>
      </c>
      <c r="AI30" s="297" t="str">
        <f>_xlfn.IFERROR(VLOOKUP(AH30,DⅡ,2,0),"")</f>
        <v>アルボーレ</v>
      </c>
      <c r="AJ30" s="297"/>
      <c r="AK30" s="297"/>
      <c r="AL30" s="297"/>
      <c r="AM30" s="297"/>
      <c r="AN30" s="373">
        <f>IF('時間表'!L25="","",'時間表'!L25)</f>
        <v>1</v>
      </c>
      <c r="AO30" s="373"/>
      <c r="AP30" s="356">
        <f>IF('時間表'!L26="","",'時間表'!L26)</f>
      </c>
      <c r="AQ30" s="357"/>
      <c r="AR30" s="37"/>
      <c r="AS30" s="37"/>
      <c r="AT30" s="59"/>
      <c r="AU30" s="60"/>
      <c r="AV30" s="60"/>
      <c r="AW30" s="60"/>
      <c r="AX30" s="60"/>
      <c r="AY30" s="60"/>
      <c r="AZ30" s="60"/>
      <c r="BA30" s="60"/>
    </row>
    <row r="31" spans="1:53" ht="9" customHeight="1" thickBot="1">
      <c r="A31" s="40"/>
      <c r="B31" s="301"/>
      <c r="C31" s="301"/>
      <c r="D31" s="301"/>
      <c r="E31" s="301"/>
      <c r="F31" s="320"/>
      <c r="G31" s="296"/>
      <c r="H31" s="296"/>
      <c r="I31" s="296"/>
      <c r="J31" s="296"/>
      <c r="K31" s="296"/>
      <c r="L31" s="373"/>
      <c r="M31" s="373"/>
      <c r="N31" s="358"/>
      <c r="O31" s="359"/>
      <c r="P31" s="300"/>
      <c r="Q31" s="301"/>
      <c r="R31" s="301"/>
      <c r="S31" s="301"/>
      <c r="T31" s="320"/>
      <c r="U31" s="298"/>
      <c r="V31" s="298"/>
      <c r="W31" s="298"/>
      <c r="X31" s="298"/>
      <c r="Y31" s="298"/>
      <c r="Z31" s="373"/>
      <c r="AA31" s="373"/>
      <c r="AB31" s="358"/>
      <c r="AC31" s="359"/>
      <c r="AD31" s="300"/>
      <c r="AE31" s="301"/>
      <c r="AF31" s="301"/>
      <c r="AG31" s="301"/>
      <c r="AH31" s="320"/>
      <c r="AI31" s="298"/>
      <c r="AJ31" s="298"/>
      <c r="AK31" s="298"/>
      <c r="AL31" s="298"/>
      <c r="AM31" s="298"/>
      <c r="AN31" s="373"/>
      <c r="AO31" s="373"/>
      <c r="AP31" s="358"/>
      <c r="AQ31" s="359"/>
      <c r="AR31" s="37"/>
      <c r="AS31" s="37"/>
      <c r="AT31" s="59"/>
      <c r="AU31" s="60"/>
      <c r="AV31" s="60"/>
      <c r="AW31" s="60"/>
      <c r="AX31" s="60"/>
      <c r="AY31" s="60"/>
      <c r="AZ31" s="60"/>
      <c r="BA31" s="60"/>
    </row>
    <row r="32" spans="1:66" ht="9" customHeight="1">
      <c r="A32" s="40"/>
      <c r="B32" s="37"/>
      <c r="C32" s="61"/>
      <c r="D32" s="61"/>
      <c r="E32" s="61"/>
      <c r="F32" s="61"/>
      <c r="G32" s="48"/>
      <c r="H32" s="47"/>
      <c r="I32" s="47"/>
      <c r="J32" s="47"/>
      <c r="K32" s="47"/>
      <c r="L32" s="47"/>
      <c r="M32" s="47"/>
      <c r="N32" s="44"/>
      <c r="O32" s="62"/>
      <c r="P32" s="62"/>
      <c r="Q32" s="62"/>
      <c r="R32" s="62"/>
      <c r="S32" s="62"/>
      <c r="T32" s="48"/>
      <c r="U32" s="47"/>
      <c r="V32" s="47"/>
      <c r="W32" s="47"/>
      <c r="X32" s="47"/>
      <c r="Y32" s="47"/>
      <c r="Z32" s="47"/>
      <c r="AA32" s="44"/>
      <c r="AB32" s="44"/>
      <c r="AC32" s="62"/>
      <c r="AD32" s="62"/>
      <c r="AE32" s="62"/>
      <c r="AF32" s="62"/>
      <c r="AG32" s="62"/>
      <c r="AH32" s="48"/>
      <c r="AI32" s="47"/>
      <c r="AJ32" s="47"/>
      <c r="AK32" s="47"/>
      <c r="AL32" s="47"/>
      <c r="AM32" s="47"/>
      <c r="AN32" s="47"/>
      <c r="AO32" s="47"/>
      <c r="AP32" s="63"/>
      <c r="AQ32" s="63"/>
      <c r="AR32" s="45"/>
      <c r="AS32" s="45"/>
      <c r="AT32" s="45"/>
      <c r="AU32" s="45"/>
      <c r="AZ32" s="46"/>
      <c r="BA32" s="61"/>
      <c r="BB32" s="61"/>
      <c r="BC32" s="64"/>
      <c r="BD32" s="65"/>
      <c r="BE32" s="66"/>
      <c r="BF32" s="48"/>
      <c r="BG32" s="147"/>
      <c r="BH32" s="47"/>
      <c r="BI32" s="47"/>
      <c r="BJ32" s="47"/>
      <c r="BK32" s="60"/>
      <c r="BL32" s="37"/>
      <c r="BM32" s="47"/>
      <c r="BN32" s="45"/>
    </row>
    <row r="33" spans="1:66" ht="9" customHeight="1">
      <c r="A33" s="40"/>
      <c r="B33" s="37"/>
      <c r="C33" s="61"/>
      <c r="D33" s="61"/>
      <c r="E33" s="61"/>
      <c r="F33" s="61"/>
      <c r="G33" s="48"/>
      <c r="H33" s="47"/>
      <c r="I33" s="47"/>
      <c r="J33" s="47"/>
      <c r="K33" s="47"/>
      <c r="L33" s="47"/>
      <c r="M33" s="47"/>
      <c r="N33" s="222"/>
      <c r="O33" s="223"/>
      <c r="P33" s="62"/>
      <c r="Q33" s="62"/>
      <c r="R33" s="62"/>
      <c r="S33" s="62"/>
      <c r="T33" s="48"/>
      <c r="U33" s="47"/>
      <c r="V33" s="47"/>
      <c r="W33" s="47"/>
      <c r="X33" s="47"/>
      <c r="Y33" s="47"/>
      <c r="Z33" s="47"/>
      <c r="AA33" s="44"/>
      <c r="AB33" s="44"/>
      <c r="AC33" s="62"/>
      <c r="AD33" s="62"/>
      <c r="AE33" s="62"/>
      <c r="AF33" s="62"/>
      <c r="AG33" s="62"/>
      <c r="AH33" s="48"/>
      <c r="AI33" s="47"/>
      <c r="AJ33" s="47"/>
      <c r="AK33" s="47"/>
      <c r="AL33" s="47"/>
      <c r="AM33" s="47"/>
      <c r="AN33" s="47"/>
      <c r="AO33" s="47"/>
      <c r="AP33" s="63"/>
      <c r="AQ33" s="63"/>
      <c r="AR33" s="45"/>
      <c r="AS33" s="45"/>
      <c r="AT33" s="45"/>
      <c r="AU33" s="45"/>
      <c r="AZ33" s="37"/>
      <c r="BA33" s="37"/>
      <c r="BB33" s="37"/>
      <c r="BC33" s="37"/>
      <c r="BD33" s="37"/>
      <c r="BE33" s="37"/>
      <c r="BF33" s="59"/>
      <c r="BG33" s="59"/>
      <c r="BH33" s="60"/>
      <c r="BI33" s="60"/>
      <c r="BJ33" s="60"/>
      <c r="BK33" s="60"/>
      <c r="BL33" s="60"/>
      <c r="BM33" s="60"/>
      <c r="BN33" s="60"/>
    </row>
    <row r="34" spans="1:66" ht="9" customHeight="1">
      <c r="A34" s="40"/>
      <c r="B34" s="37"/>
      <c r="C34" s="61"/>
      <c r="D34" s="61"/>
      <c r="E34" s="61"/>
      <c r="F34" s="61"/>
      <c r="G34" s="48"/>
      <c r="H34" s="47"/>
      <c r="I34" s="47"/>
      <c r="J34" s="47"/>
      <c r="K34" s="47"/>
      <c r="L34" s="47"/>
      <c r="M34" s="47"/>
      <c r="N34" s="44"/>
      <c r="O34" s="62"/>
      <c r="P34" s="62"/>
      <c r="Q34" s="62"/>
      <c r="R34" s="62"/>
      <c r="S34" s="62"/>
      <c r="T34" s="48"/>
      <c r="U34" s="47"/>
      <c r="V34" s="47"/>
      <c r="W34" s="47"/>
      <c r="X34" s="47"/>
      <c r="Y34" s="47"/>
      <c r="Z34" s="47"/>
      <c r="AA34" s="44"/>
      <c r="AB34" s="44"/>
      <c r="AC34" s="62"/>
      <c r="AD34" s="62"/>
      <c r="AE34" s="62"/>
      <c r="AF34" s="62"/>
      <c r="AG34" s="62"/>
      <c r="AH34" s="48"/>
      <c r="AI34" s="47"/>
      <c r="AJ34" s="47"/>
      <c r="AK34" s="47"/>
      <c r="AL34" s="47"/>
      <c r="AM34" s="47"/>
      <c r="AN34" s="47"/>
      <c r="AO34" s="47"/>
      <c r="AP34" s="63"/>
      <c r="AR34" s="45"/>
      <c r="AS34" s="45"/>
      <c r="AT34" s="45"/>
      <c r="AU34" s="45"/>
      <c r="AZ34" s="37"/>
      <c r="BA34" s="37"/>
      <c r="BB34" s="37"/>
      <c r="BC34" s="37"/>
      <c r="BD34" s="37"/>
      <c r="BE34" s="37"/>
      <c r="BF34" s="59"/>
      <c r="BG34" s="59"/>
      <c r="BH34" s="60"/>
      <c r="BI34" s="60"/>
      <c r="BJ34" s="60"/>
      <c r="BK34" s="60"/>
      <c r="BL34" s="60"/>
      <c r="BM34" s="60"/>
      <c r="BN34" s="60"/>
    </row>
    <row r="35" spans="2:41" ht="9" customHeight="1">
      <c r="B35" s="39"/>
      <c r="C35" s="39"/>
      <c r="D35" s="39"/>
      <c r="E35" s="39"/>
      <c r="F35" s="39"/>
      <c r="G35" s="39"/>
      <c r="H35" s="39"/>
      <c r="I35" s="39"/>
      <c r="J35" s="41"/>
      <c r="K35" s="39"/>
      <c r="L35" s="39"/>
      <c r="M35" s="39"/>
      <c r="N35" s="39"/>
      <c r="O35" s="39"/>
      <c r="P35" s="41"/>
      <c r="Q35" s="39"/>
      <c r="R35" s="39"/>
      <c r="S35" s="39"/>
      <c r="T35" s="39"/>
      <c r="U35" s="39"/>
      <c r="V35" s="41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55"/>
      <c r="AI35" s="55"/>
      <c r="AJ35" s="55"/>
      <c r="AK35" s="55"/>
      <c r="AL35" s="39"/>
      <c r="AM35" s="39"/>
      <c r="AN35" s="39"/>
      <c r="AO35" s="39"/>
    </row>
    <row r="36" spans="2:19" ht="9" customHeight="1">
      <c r="B36" s="382" t="s">
        <v>61</v>
      </c>
      <c r="C36" s="382"/>
      <c r="D36" s="378" t="str">
        <f>'時間表'!V5</f>
        <v>鴻池多目的Ｇ</v>
      </c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54"/>
      <c r="R36" s="54"/>
      <c r="S36" s="54"/>
    </row>
    <row r="37" spans="2:19" ht="9" customHeight="1">
      <c r="B37" s="382"/>
      <c r="C37" s="382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54"/>
      <c r="R37" s="54"/>
      <c r="S37" s="54"/>
    </row>
    <row r="39" spans="2:57" ht="9" customHeight="1">
      <c r="B39" s="383" t="str">
        <f>'時間表'!T4</f>
        <v>E</v>
      </c>
      <c r="C39" s="384"/>
      <c r="D39" s="387" t="s">
        <v>79</v>
      </c>
      <c r="E39" s="387"/>
      <c r="F39" s="387"/>
      <c r="G39" s="399"/>
      <c r="H39" s="278" t="str">
        <f>B41</f>
        <v>ディスパーロ</v>
      </c>
      <c r="I39" s="278"/>
      <c r="J39" s="278"/>
      <c r="K39" s="278"/>
      <c r="L39" s="278"/>
      <c r="M39" s="278"/>
      <c r="N39" s="278" t="str">
        <f>B43</f>
        <v>柏　田</v>
      </c>
      <c r="O39" s="278"/>
      <c r="P39" s="278"/>
      <c r="Q39" s="278"/>
      <c r="R39" s="278"/>
      <c r="S39" s="278"/>
      <c r="T39" s="278" t="str">
        <f>B45</f>
        <v>高　市</v>
      </c>
      <c r="U39" s="278"/>
      <c r="V39" s="278"/>
      <c r="W39" s="278"/>
      <c r="X39" s="278"/>
      <c r="Y39" s="278"/>
      <c r="Z39" s="271" t="s">
        <v>62</v>
      </c>
      <c r="AA39" s="271"/>
      <c r="AB39" s="271" t="s">
        <v>63</v>
      </c>
      <c r="AC39" s="271"/>
      <c r="AD39" s="271" t="s">
        <v>64</v>
      </c>
      <c r="AE39" s="271"/>
      <c r="AF39" s="271" t="s">
        <v>67</v>
      </c>
      <c r="AG39" s="271"/>
      <c r="AH39" s="271" t="s">
        <v>65</v>
      </c>
      <c r="AI39" s="271"/>
      <c r="AJ39" s="278" t="s">
        <v>69</v>
      </c>
      <c r="AK39" s="278"/>
      <c r="AL39" s="271" t="s">
        <v>66</v>
      </c>
      <c r="AM39" s="271"/>
      <c r="AN39" s="271" t="s">
        <v>68</v>
      </c>
      <c r="AO39" s="271"/>
      <c r="AP39" s="291" t="s">
        <v>83</v>
      </c>
      <c r="AQ39" s="292"/>
      <c r="AR39" s="310" t="s">
        <v>57</v>
      </c>
      <c r="AS39" s="310" t="s">
        <v>59</v>
      </c>
      <c r="AT39" s="310" t="s">
        <v>58</v>
      </c>
      <c r="AU39" s="310" t="s">
        <v>60</v>
      </c>
      <c r="AZ39" s="392" t="str">
        <f>B39</f>
        <v>E</v>
      </c>
      <c r="BA39" s="254"/>
      <c r="BB39" s="254" t="s">
        <v>88</v>
      </c>
      <c r="BC39" s="254"/>
      <c r="BD39" s="254"/>
      <c r="BE39" s="281"/>
    </row>
    <row r="40" spans="2:57" ht="9" customHeight="1">
      <c r="B40" s="385"/>
      <c r="C40" s="386"/>
      <c r="D40" s="390"/>
      <c r="E40" s="390"/>
      <c r="F40" s="390"/>
      <c r="G40" s="391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2"/>
      <c r="AA40" s="272"/>
      <c r="AB40" s="272"/>
      <c r="AC40" s="272"/>
      <c r="AD40" s="272"/>
      <c r="AE40" s="272"/>
      <c r="AF40" s="277"/>
      <c r="AG40" s="277"/>
      <c r="AH40" s="272"/>
      <c r="AI40" s="272"/>
      <c r="AJ40" s="278"/>
      <c r="AK40" s="278"/>
      <c r="AL40" s="272"/>
      <c r="AM40" s="272"/>
      <c r="AN40" s="277"/>
      <c r="AO40" s="277"/>
      <c r="AP40" s="293"/>
      <c r="AQ40" s="294"/>
      <c r="AR40" s="310"/>
      <c r="AS40" s="310"/>
      <c r="AT40" s="310"/>
      <c r="AU40" s="310"/>
      <c r="AZ40" s="335"/>
      <c r="BA40" s="255"/>
      <c r="BB40" s="255"/>
      <c r="BC40" s="255"/>
      <c r="BD40" s="255"/>
      <c r="BE40" s="282"/>
    </row>
    <row r="41" spans="1:73" ht="9" customHeight="1">
      <c r="A41" s="263">
        <f>AN41</f>
        <v>3</v>
      </c>
      <c r="B41" s="264" t="str">
        <f>'時間表'!U5</f>
        <v>ディスパーロ</v>
      </c>
      <c r="C41" s="265"/>
      <c r="D41" s="265"/>
      <c r="E41" s="265"/>
      <c r="F41" s="265"/>
      <c r="G41" s="266"/>
      <c r="H41" s="273"/>
      <c r="I41" s="273"/>
      <c r="J41" s="273"/>
      <c r="K41" s="273"/>
      <c r="L41" s="273"/>
      <c r="M41" s="274"/>
      <c r="N41" s="261" t="str">
        <f>IF(O41="","",IF(O41&gt;R41,"○",IF(O41&lt;R41,"●","△")))</f>
        <v>●</v>
      </c>
      <c r="O41" s="254">
        <f>IF('時間表'!D33="","",'時間表'!D33)</f>
        <v>0</v>
      </c>
      <c r="P41" s="254"/>
      <c r="Q41" s="34"/>
      <c r="R41" s="254">
        <f>IF('時間表'!F33="","",'時間表'!F33)</f>
        <v>5</v>
      </c>
      <c r="S41" s="254"/>
      <c r="T41" s="261" t="str">
        <f>IF(U41="","",IF(U41&gt;X41,"○",IF(U41&lt;X41,"●","△")))</f>
        <v>●</v>
      </c>
      <c r="U41" s="254">
        <f>IF('時間表'!D35="","",'時間表'!D35)</f>
        <v>0</v>
      </c>
      <c r="V41" s="254"/>
      <c r="W41" s="34"/>
      <c r="X41" s="254">
        <f>IF('時間表'!F35="","",'時間表'!F35)</f>
        <v>3</v>
      </c>
      <c r="Y41" s="254"/>
      <c r="Z41" s="267">
        <f>IF('時間表'!D33="","",COUNTIF($H41:$Y42,"○"))</f>
        <v>0</v>
      </c>
      <c r="AA41" s="268"/>
      <c r="AB41" s="267">
        <f>IF('時間表'!D33="","",COUNTIF($H41:$Y42,"△"))</f>
        <v>0</v>
      </c>
      <c r="AC41" s="268"/>
      <c r="AD41" s="267">
        <f>IF('時間表'!D33="","",COUNTIF($H41:$Y42,"●"))</f>
        <v>2</v>
      </c>
      <c r="AE41" s="268"/>
      <c r="AF41" s="260">
        <f>_xlfn.IFERROR(Z41*3+AB41,"")</f>
        <v>0</v>
      </c>
      <c r="AG41" s="260"/>
      <c r="AH41" s="256">
        <f>_xlfn.IFERROR(O41+U41,"")</f>
        <v>0</v>
      </c>
      <c r="AI41" s="257"/>
      <c r="AJ41" s="260">
        <f>_xlfn.IFERROR(R41+X41,"")</f>
        <v>8</v>
      </c>
      <c r="AK41" s="260"/>
      <c r="AL41" s="279">
        <f>_xlfn.IFERROR(AH41-AJ41,"")</f>
        <v>-8</v>
      </c>
      <c r="AM41" s="280"/>
      <c r="AN41" s="260">
        <f>IF('時間表'!D33="","",RANK(AU41,$AU$41:$AU$46,1))</f>
        <v>3</v>
      </c>
      <c r="AO41" s="260"/>
      <c r="AP41" s="311">
        <f>_xlfn.IFERROR(AZ41,"")</f>
        <v>5</v>
      </c>
      <c r="AQ41" s="311"/>
      <c r="AR41" s="250">
        <f>_xlfn.IFERROR(100*RANK(AF41,AF41:AG46,0),"")</f>
        <v>300</v>
      </c>
      <c r="AS41" s="250">
        <f>_xlfn.IFERROR(10*RANK(AL41,AL41:AM46,0),"")</f>
        <v>30</v>
      </c>
      <c r="AT41" s="250">
        <f>_xlfn.IFERROR(RANK(AH41,AH41:AI46,0),"")</f>
        <v>3</v>
      </c>
      <c r="AU41" s="250">
        <f>_xlfn.IFERROR(SUM(AR41:AT42),"")</f>
        <v>333</v>
      </c>
      <c r="AZ41" s="271">
        <f>VLOOKUP(BA41,BT41:BU52,2,0)</f>
        <v>5</v>
      </c>
      <c r="BA41" s="392" t="str">
        <f>B41</f>
        <v>ディスパーロ</v>
      </c>
      <c r="BB41" s="254"/>
      <c r="BC41" s="254"/>
      <c r="BD41" s="254"/>
      <c r="BE41" s="281"/>
      <c r="BJ41" s="375" t="str">
        <f>G57</f>
        <v>柏　田</v>
      </c>
      <c r="BK41" s="375"/>
      <c r="BL41" s="375"/>
      <c r="BM41" s="375"/>
      <c r="BN41" s="376" t="str">
        <f>IF(L57&gt;L60,"1",IF(L57&lt;L60,"2","0"))</f>
        <v>1</v>
      </c>
      <c r="BO41" s="376"/>
      <c r="BP41" s="375" t="str">
        <f>IF(N57&gt;N60,"1",IF(N57&lt;N60,"2","0"))</f>
        <v>0</v>
      </c>
      <c r="BQ41" s="375"/>
      <c r="BR41" s="375">
        <f>BN41+BP41</f>
        <v>1</v>
      </c>
      <c r="BS41" s="375"/>
      <c r="BT41" s="377" t="str">
        <f>BJ41</f>
        <v>柏　田</v>
      </c>
      <c r="BU41" s="377">
        <f>BR41</f>
        <v>1</v>
      </c>
    </row>
    <row r="42" spans="1:73" ht="9" customHeight="1">
      <c r="A42" s="263"/>
      <c r="B42" s="264"/>
      <c r="C42" s="265"/>
      <c r="D42" s="265"/>
      <c r="E42" s="265"/>
      <c r="F42" s="265"/>
      <c r="G42" s="266"/>
      <c r="H42" s="275"/>
      <c r="I42" s="275"/>
      <c r="J42" s="275"/>
      <c r="K42" s="275"/>
      <c r="L42" s="275"/>
      <c r="M42" s="276"/>
      <c r="N42" s="262"/>
      <c r="O42" s="255"/>
      <c r="P42" s="255"/>
      <c r="Q42" s="35"/>
      <c r="R42" s="255"/>
      <c r="S42" s="255"/>
      <c r="T42" s="262"/>
      <c r="U42" s="255"/>
      <c r="V42" s="255"/>
      <c r="W42" s="35"/>
      <c r="X42" s="255"/>
      <c r="Y42" s="255"/>
      <c r="Z42" s="269"/>
      <c r="AA42" s="270"/>
      <c r="AB42" s="269"/>
      <c r="AC42" s="270"/>
      <c r="AD42" s="269"/>
      <c r="AE42" s="270"/>
      <c r="AF42" s="260"/>
      <c r="AG42" s="260"/>
      <c r="AH42" s="258"/>
      <c r="AI42" s="259"/>
      <c r="AJ42" s="260"/>
      <c r="AK42" s="260"/>
      <c r="AL42" s="279"/>
      <c r="AM42" s="280"/>
      <c r="AN42" s="260"/>
      <c r="AO42" s="260"/>
      <c r="AP42" s="311"/>
      <c r="AQ42" s="311"/>
      <c r="AR42" s="250"/>
      <c r="AS42" s="250"/>
      <c r="AT42" s="250"/>
      <c r="AU42" s="250"/>
      <c r="AZ42" s="272"/>
      <c r="BA42" s="335"/>
      <c r="BB42" s="255"/>
      <c r="BC42" s="255"/>
      <c r="BD42" s="255"/>
      <c r="BE42" s="282"/>
      <c r="BJ42" s="375"/>
      <c r="BK42" s="375"/>
      <c r="BL42" s="375"/>
      <c r="BM42" s="375"/>
      <c r="BN42" s="376"/>
      <c r="BO42" s="376"/>
      <c r="BP42" s="375"/>
      <c r="BQ42" s="375"/>
      <c r="BR42" s="375"/>
      <c r="BS42" s="375"/>
      <c r="BT42" s="377"/>
      <c r="BU42" s="377"/>
    </row>
    <row r="43" spans="1:73" ht="9" customHeight="1">
      <c r="A43" s="263">
        <f>AN43</f>
        <v>1</v>
      </c>
      <c r="B43" s="264" t="str">
        <f>'時間表'!U6</f>
        <v>柏　田</v>
      </c>
      <c r="C43" s="265"/>
      <c r="D43" s="265"/>
      <c r="E43" s="265"/>
      <c r="F43" s="265"/>
      <c r="G43" s="266"/>
      <c r="H43" s="261" t="str">
        <f>IF(I43="","",IF(I43&gt;L43,"○",IF(I43&lt;L43,"●","△")))</f>
        <v>○</v>
      </c>
      <c r="I43" s="254">
        <f>R41</f>
        <v>5</v>
      </c>
      <c r="J43" s="254"/>
      <c r="K43" s="34"/>
      <c r="L43" s="254">
        <f>O41</f>
        <v>0</v>
      </c>
      <c r="M43" s="281"/>
      <c r="N43" s="251"/>
      <c r="O43" s="252"/>
      <c r="P43" s="252"/>
      <c r="Q43" s="252"/>
      <c r="R43" s="252"/>
      <c r="S43" s="252"/>
      <c r="T43" s="261" t="str">
        <f>IF(U43="","",IF(U43&gt;X43,"○",IF(U43&lt;X43,"●","△")))</f>
        <v>○</v>
      </c>
      <c r="U43" s="254">
        <f>IF('時間表'!D37="","",'時間表'!D37)</f>
        <v>3</v>
      </c>
      <c r="V43" s="254"/>
      <c r="W43" s="34"/>
      <c r="X43" s="254">
        <f>IF('時間表'!F37="","",'時間表'!F37)</f>
        <v>0</v>
      </c>
      <c r="Y43" s="254"/>
      <c r="Z43" s="267">
        <f>IF('時間表'!F33="","",COUNTIF($H43:$Y44,"○"))</f>
        <v>2</v>
      </c>
      <c r="AA43" s="268"/>
      <c r="AB43" s="267">
        <f>IF('時間表'!F33="","",COUNTIF($H43:$Y44,"△"))</f>
        <v>0</v>
      </c>
      <c r="AC43" s="268"/>
      <c r="AD43" s="267">
        <f>IF('時間表'!F33="","",COUNTIF($H43:$Y44,"●"))</f>
        <v>0</v>
      </c>
      <c r="AE43" s="268"/>
      <c r="AF43" s="260">
        <f>_xlfn.IFERROR(Z43*3+AB43,"")</f>
        <v>6</v>
      </c>
      <c r="AG43" s="260"/>
      <c r="AH43" s="256">
        <f>_xlfn.IFERROR(I43+U43,"")</f>
        <v>8</v>
      </c>
      <c r="AI43" s="257"/>
      <c r="AJ43" s="260">
        <f>_xlfn.IFERROR(L43+X43,"")</f>
        <v>0</v>
      </c>
      <c r="AK43" s="260"/>
      <c r="AL43" s="279">
        <f>_xlfn.IFERROR(AH43-AJ43,"")</f>
        <v>8</v>
      </c>
      <c r="AM43" s="280"/>
      <c r="AN43" s="260">
        <f>IF('時間表'!F33="","",RANK(AU43,$AU$41:$AU$46,1))</f>
        <v>1</v>
      </c>
      <c r="AO43" s="260"/>
      <c r="AP43" s="311">
        <f>_xlfn.IFERROR(AZ43,"")</f>
        <v>1</v>
      </c>
      <c r="AQ43" s="311"/>
      <c r="AR43" s="250">
        <f>_xlfn.IFERROR(100*RANK(AF43,AF41:AG46,0),"")</f>
        <v>100</v>
      </c>
      <c r="AS43" s="250">
        <f>_xlfn.IFERROR(10*RANK(AL43,AL41:AM46,0),"")</f>
        <v>10</v>
      </c>
      <c r="AT43" s="250">
        <f>_xlfn.IFERROR(RANK(AH43,AH41:AI46,0),"")</f>
        <v>1</v>
      </c>
      <c r="AU43" s="250">
        <f>_xlfn.IFERROR(SUM(AR43:AT44),"")</f>
        <v>111</v>
      </c>
      <c r="AZ43" s="271">
        <f>VLOOKUP(BA43,BT41:BU52,2,0)</f>
        <v>1</v>
      </c>
      <c r="BA43" s="392" t="str">
        <f>B43</f>
        <v>柏　田</v>
      </c>
      <c r="BB43" s="254"/>
      <c r="BC43" s="254"/>
      <c r="BD43" s="254"/>
      <c r="BE43" s="281"/>
      <c r="BJ43" s="375" t="str">
        <f>G60</f>
        <v>ﾃﾞｨｱﾌﾞﾛｯｻ大阪</v>
      </c>
      <c r="BK43" s="375"/>
      <c r="BL43" s="375"/>
      <c r="BM43" s="375"/>
      <c r="BN43" s="376" t="str">
        <f>IF(L57&gt;L60,"2",IF(L57&lt;L60,"1","0"))</f>
        <v>2</v>
      </c>
      <c r="BO43" s="376"/>
      <c r="BP43" s="375" t="str">
        <f>IF(N57&gt;N60,"2",IF(N57&lt;N60,"1","0"))</f>
        <v>0</v>
      </c>
      <c r="BQ43" s="375"/>
      <c r="BR43" s="375">
        <f>BN43+BP43</f>
        <v>2</v>
      </c>
      <c r="BS43" s="375"/>
      <c r="BT43" s="377" t="str">
        <f>BJ43</f>
        <v>ﾃﾞｨｱﾌﾞﾛｯｻ大阪</v>
      </c>
      <c r="BU43" s="377">
        <f>BR43</f>
        <v>2</v>
      </c>
    </row>
    <row r="44" spans="1:73" ht="9" customHeight="1">
      <c r="A44" s="263"/>
      <c r="B44" s="264"/>
      <c r="C44" s="265"/>
      <c r="D44" s="265"/>
      <c r="E44" s="265"/>
      <c r="F44" s="265"/>
      <c r="G44" s="266"/>
      <c r="H44" s="262"/>
      <c r="I44" s="255"/>
      <c r="J44" s="255"/>
      <c r="K44" s="35"/>
      <c r="L44" s="255"/>
      <c r="M44" s="282"/>
      <c r="N44" s="251"/>
      <c r="O44" s="252"/>
      <c r="P44" s="252"/>
      <c r="Q44" s="252"/>
      <c r="R44" s="252"/>
      <c r="S44" s="252"/>
      <c r="T44" s="262"/>
      <c r="U44" s="255"/>
      <c r="V44" s="255"/>
      <c r="W44" s="35"/>
      <c r="X44" s="255"/>
      <c r="Y44" s="255"/>
      <c r="Z44" s="269"/>
      <c r="AA44" s="270"/>
      <c r="AB44" s="269"/>
      <c r="AC44" s="270"/>
      <c r="AD44" s="269"/>
      <c r="AE44" s="270"/>
      <c r="AF44" s="260"/>
      <c r="AG44" s="260"/>
      <c r="AH44" s="258"/>
      <c r="AI44" s="259"/>
      <c r="AJ44" s="260"/>
      <c r="AK44" s="260"/>
      <c r="AL44" s="279"/>
      <c r="AM44" s="280"/>
      <c r="AN44" s="260"/>
      <c r="AO44" s="260"/>
      <c r="AP44" s="311"/>
      <c r="AQ44" s="311"/>
      <c r="AR44" s="250"/>
      <c r="AS44" s="250"/>
      <c r="AT44" s="250"/>
      <c r="AU44" s="250"/>
      <c r="AZ44" s="272"/>
      <c r="BA44" s="335"/>
      <c r="BB44" s="255"/>
      <c r="BC44" s="255"/>
      <c r="BD44" s="255"/>
      <c r="BE44" s="282"/>
      <c r="BJ44" s="375"/>
      <c r="BK44" s="375"/>
      <c r="BL44" s="375"/>
      <c r="BM44" s="375"/>
      <c r="BN44" s="376"/>
      <c r="BO44" s="376"/>
      <c r="BP44" s="375"/>
      <c r="BQ44" s="375"/>
      <c r="BR44" s="375"/>
      <c r="BS44" s="375"/>
      <c r="BT44" s="377"/>
      <c r="BU44" s="377"/>
    </row>
    <row r="45" spans="1:73" ht="9" customHeight="1">
      <c r="A45" s="263">
        <f>AN45</f>
        <v>2</v>
      </c>
      <c r="B45" s="264" t="str">
        <f>'時間表'!U7</f>
        <v>高　市</v>
      </c>
      <c r="C45" s="265"/>
      <c r="D45" s="265"/>
      <c r="E45" s="265"/>
      <c r="F45" s="265"/>
      <c r="G45" s="266"/>
      <c r="H45" s="261" t="str">
        <f>IF(I45="","",IF(I45&gt;L45,"○",IF(I45&lt;L45,"●","△")))</f>
        <v>○</v>
      </c>
      <c r="I45" s="254">
        <f>X41</f>
        <v>3</v>
      </c>
      <c r="J45" s="254"/>
      <c r="K45" s="34"/>
      <c r="L45" s="254">
        <f>U41</f>
        <v>0</v>
      </c>
      <c r="M45" s="281"/>
      <c r="N45" s="261" t="str">
        <f>IF(O45="","",IF(O45&gt;R45,"○",IF(O45&lt;R45,"●","△")))</f>
        <v>●</v>
      </c>
      <c r="O45" s="254">
        <f>X43</f>
        <v>0</v>
      </c>
      <c r="P45" s="254"/>
      <c r="Q45" s="34"/>
      <c r="R45" s="254">
        <f>U43</f>
        <v>3</v>
      </c>
      <c r="S45" s="281"/>
      <c r="T45" s="251"/>
      <c r="U45" s="252"/>
      <c r="V45" s="252"/>
      <c r="W45" s="252"/>
      <c r="X45" s="252"/>
      <c r="Y45" s="253"/>
      <c r="Z45" s="267">
        <f>IF('時間表'!F35="","",COUNTIF($H45:$Y46,"○"))</f>
        <v>1</v>
      </c>
      <c r="AA45" s="268"/>
      <c r="AB45" s="267">
        <f>IF('時間表'!F35="","",COUNTIF($H45:$Y46,"△"))</f>
        <v>0</v>
      </c>
      <c r="AC45" s="268"/>
      <c r="AD45" s="267">
        <f>IF('時間表'!F35="","",COUNTIF($H45:$Y46,"●"))</f>
        <v>1</v>
      </c>
      <c r="AE45" s="268"/>
      <c r="AF45" s="260">
        <f>_xlfn.IFERROR(Z45*3+AB45,"")</f>
        <v>3</v>
      </c>
      <c r="AG45" s="260"/>
      <c r="AH45" s="256">
        <f>_xlfn.IFERROR(O45+I45,"")</f>
        <v>3</v>
      </c>
      <c r="AI45" s="257"/>
      <c r="AJ45" s="260">
        <f>_xlfn.IFERROR(R45+L45,"")</f>
        <v>3</v>
      </c>
      <c r="AK45" s="260"/>
      <c r="AL45" s="279">
        <f>_xlfn.IFERROR(AH45-AJ45,"")</f>
        <v>0</v>
      </c>
      <c r="AM45" s="280"/>
      <c r="AN45" s="260">
        <f>IF('時間表'!F35="","",RANK(AU45,$AU$41:$AU$46,1))</f>
        <v>2</v>
      </c>
      <c r="AO45" s="260"/>
      <c r="AP45" s="311">
        <f>_xlfn.IFERROR(AZ45,"")</f>
        <v>3</v>
      </c>
      <c r="AQ45" s="311"/>
      <c r="AR45" s="250">
        <f>_xlfn.IFERROR(100*RANK(AF45,AF41:AG46,0),"")</f>
        <v>200</v>
      </c>
      <c r="AS45" s="250">
        <f>_xlfn.IFERROR(10*RANK(AL45,AL41:AM46,0),"")</f>
        <v>20</v>
      </c>
      <c r="AT45" s="250">
        <f>_xlfn.IFERROR(RANK(AH45,AH41:AI46,0),"")</f>
        <v>2</v>
      </c>
      <c r="AU45" s="250">
        <f>_xlfn.IFERROR(SUM(AR45:AT46),"")</f>
        <v>222</v>
      </c>
      <c r="AZ45" s="271">
        <f>VLOOKUP(BA45,BT41:BU52,2,0)</f>
        <v>3</v>
      </c>
      <c r="BA45" s="392" t="str">
        <f>B45</f>
        <v>高　市</v>
      </c>
      <c r="BB45" s="254"/>
      <c r="BC45" s="254"/>
      <c r="BD45" s="254"/>
      <c r="BE45" s="281"/>
      <c r="BJ45" s="375" t="str">
        <f>U57</f>
        <v>高　市</v>
      </c>
      <c r="BK45" s="375"/>
      <c r="BL45" s="375"/>
      <c r="BM45" s="375"/>
      <c r="BN45" s="376" t="str">
        <f>IF(Z57&gt;Z60,"3",IF(Z57&lt;Z60,"4","0"))</f>
        <v>3</v>
      </c>
      <c r="BO45" s="376"/>
      <c r="BP45" s="375" t="str">
        <f>IF(AB57&gt;AB60,"3",IF(AB57&lt;AB60,"4","0"))</f>
        <v>0</v>
      </c>
      <c r="BQ45" s="375"/>
      <c r="BR45" s="375">
        <f>BN45+BP45</f>
        <v>3</v>
      </c>
      <c r="BS45" s="375"/>
      <c r="BT45" s="377" t="str">
        <f>BJ45</f>
        <v>高　市</v>
      </c>
      <c r="BU45" s="377">
        <f>BR45</f>
        <v>3</v>
      </c>
    </row>
    <row r="46" spans="1:73" ht="9" customHeight="1">
      <c r="A46" s="263"/>
      <c r="B46" s="264"/>
      <c r="C46" s="265"/>
      <c r="D46" s="265"/>
      <c r="E46" s="265"/>
      <c r="F46" s="265"/>
      <c r="G46" s="266"/>
      <c r="H46" s="262"/>
      <c r="I46" s="255"/>
      <c r="J46" s="255"/>
      <c r="K46" s="35"/>
      <c r="L46" s="255"/>
      <c r="M46" s="282"/>
      <c r="N46" s="262"/>
      <c r="O46" s="255"/>
      <c r="P46" s="255"/>
      <c r="Q46" s="35"/>
      <c r="R46" s="255"/>
      <c r="S46" s="282"/>
      <c r="T46" s="251"/>
      <c r="U46" s="252"/>
      <c r="V46" s="252"/>
      <c r="W46" s="252"/>
      <c r="X46" s="252"/>
      <c r="Y46" s="253"/>
      <c r="Z46" s="269"/>
      <c r="AA46" s="270"/>
      <c r="AB46" s="269"/>
      <c r="AC46" s="270"/>
      <c r="AD46" s="269"/>
      <c r="AE46" s="270"/>
      <c r="AF46" s="260"/>
      <c r="AG46" s="260"/>
      <c r="AH46" s="258"/>
      <c r="AI46" s="259"/>
      <c r="AJ46" s="260"/>
      <c r="AK46" s="260"/>
      <c r="AL46" s="279"/>
      <c r="AM46" s="280"/>
      <c r="AN46" s="260"/>
      <c r="AO46" s="260"/>
      <c r="AP46" s="311"/>
      <c r="AQ46" s="311"/>
      <c r="AR46" s="250"/>
      <c r="AS46" s="250"/>
      <c r="AT46" s="250"/>
      <c r="AU46" s="250"/>
      <c r="AZ46" s="272"/>
      <c r="BA46" s="335"/>
      <c r="BB46" s="255"/>
      <c r="BC46" s="255"/>
      <c r="BD46" s="255"/>
      <c r="BE46" s="282"/>
      <c r="BJ46" s="375"/>
      <c r="BK46" s="375"/>
      <c r="BL46" s="375"/>
      <c r="BM46" s="375"/>
      <c r="BN46" s="376"/>
      <c r="BO46" s="376"/>
      <c r="BP46" s="375"/>
      <c r="BQ46" s="375"/>
      <c r="BR46" s="375"/>
      <c r="BS46" s="375"/>
      <c r="BT46" s="377"/>
      <c r="BU46" s="377"/>
    </row>
    <row r="47" spans="2:73" ht="9" customHeight="1">
      <c r="B47" s="39"/>
      <c r="C47" s="39"/>
      <c r="D47" s="39"/>
      <c r="E47" s="39"/>
      <c r="F47" s="39"/>
      <c r="G47" s="39"/>
      <c r="H47" s="39"/>
      <c r="I47" s="39"/>
      <c r="J47" s="41"/>
      <c r="K47" s="39"/>
      <c r="L47" s="39"/>
      <c r="M47" s="39"/>
      <c r="N47" s="39"/>
      <c r="O47" s="39"/>
      <c r="P47" s="41"/>
      <c r="Q47" s="39"/>
      <c r="R47" s="39"/>
      <c r="S47" s="39"/>
      <c r="T47" s="39"/>
      <c r="U47" s="39"/>
      <c r="V47" s="41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55"/>
      <c r="AI47" s="55"/>
      <c r="AJ47" s="55"/>
      <c r="AK47" s="55"/>
      <c r="AL47" s="39"/>
      <c r="AM47" s="39"/>
      <c r="AN47" s="101"/>
      <c r="AO47" s="101"/>
      <c r="AR47" s="56"/>
      <c r="AS47" s="56"/>
      <c r="AT47" s="56"/>
      <c r="AU47" s="56"/>
      <c r="AZ47" s="271">
        <f>VLOOKUP(BA47,BT41:BU52,2,0)</f>
        <v>6</v>
      </c>
      <c r="BA47" s="392" t="str">
        <f>B50</f>
        <v>辰　市</v>
      </c>
      <c r="BB47" s="254"/>
      <c r="BC47" s="254"/>
      <c r="BD47" s="254"/>
      <c r="BE47" s="281"/>
      <c r="BJ47" s="375" t="str">
        <f>U60</f>
        <v>金　田</v>
      </c>
      <c r="BK47" s="375"/>
      <c r="BL47" s="375"/>
      <c r="BM47" s="375"/>
      <c r="BN47" s="376" t="str">
        <f>IF(Z57&gt;Z60,"4",IF(Z57&lt;Z60,"3","0"))</f>
        <v>4</v>
      </c>
      <c r="BO47" s="376"/>
      <c r="BP47" s="375" t="str">
        <f>IF(AB57&gt;AB60,"4",IF(AB57&lt;AB60,"3","0"))</f>
        <v>0</v>
      </c>
      <c r="BQ47" s="375"/>
      <c r="BR47" s="375">
        <f>BN47+BP47</f>
        <v>4</v>
      </c>
      <c r="BS47" s="375"/>
      <c r="BT47" s="377" t="str">
        <f>BJ47</f>
        <v>金　田</v>
      </c>
      <c r="BU47" s="377">
        <f>BR47</f>
        <v>4</v>
      </c>
    </row>
    <row r="48" spans="2:73" ht="9" customHeight="1">
      <c r="B48" s="383" t="str">
        <f>B39</f>
        <v>E</v>
      </c>
      <c r="C48" s="384"/>
      <c r="D48" s="387" t="s">
        <v>80</v>
      </c>
      <c r="E48" s="387"/>
      <c r="F48" s="387"/>
      <c r="G48" s="399"/>
      <c r="H48" s="278" t="str">
        <f>B50</f>
        <v>辰　市</v>
      </c>
      <c r="I48" s="278"/>
      <c r="J48" s="278"/>
      <c r="K48" s="278"/>
      <c r="L48" s="278"/>
      <c r="M48" s="278"/>
      <c r="N48" s="278" t="str">
        <f>B52</f>
        <v>ﾃﾞｨｱﾌﾞﾛｯｻ大阪</v>
      </c>
      <c r="O48" s="278"/>
      <c r="P48" s="278"/>
      <c r="Q48" s="278"/>
      <c r="R48" s="278"/>
      <c r="S48" s="278"/>
      <c r="T48" s="278" t="str">
        <f>B54</f>
        <v>金　田</v>
      </c>
      <c r="U48" s="278"/>
      <c r="V48" s="278"/>
      <c r="W48" s="278"/>
      <c r="X48" s="278"/>
      <c r="Y48" s="278"/>
      <c r="Z48" s="271" t="s">
        <v>62</v>
      </c>
      <c r="AA48" s="271"/>
      <c r="AB48" s="271" t="s">
        <v>63</v>
      </c>
      <c r="AC48" s="271"/>
      <c r="AD48" s="271" t="s">
        <v>64</v>
      </c>
      <c r="AE48" s="271"/>
      <c r="AF48" s="271" t="s">
        <v>67</v>
      </c>
      <c r="AG48" s="271"/>
      <c r="AH48" s="271" t="s">
        <v>65</v>
      </c>
      <c r="AI48" s="271"/>
      <c r="AJ48" s="278" t="s">
        <v>69</v>
      </c>
      <c r="AK48" s="278"/>
      <c r="AL48" s="271" t="s">
        <v>66</v>
      </c>
      <c r="AM48" s="271"/>
      <c r="AN48" s="271" t="s">
        <v>68</v>
      </c>
      <c r="AO48" s="271"/>
      <c r="AP48" s="291" t="s">
        <v>83</v>
      </c>
      <c r="AQ48" s="292"/>
      <c r="AR48" s="310" t="s">
        <v>57</v>
      </c>
      <c r="AS48" s="310" t="s">
        <v>59</v>
      </c>
      <c r="AT48" s="310" t="s">
        <v>58</v>
      </c>
      <c r="AU48" s="310" t="s">
        <v>60</v>
      </c>
      <c r="AZ48" s="272"/>
      <c r="BA48" s="335"/>
      <c r="BB48" s="255"/>
      <c r="BC48" s="255"/>
      <c r="BD48" s="255"/>
      <c r="BE48" s="282"/>
      <c r="BJ48" s="375"/>
      <c r="BK48" s="375"/>
      <c r="BL48" s="375"/>
      <c r="BM48" s="375"/>
      <c r="BN48" s="376"/>
      <c r="BO48" s="376"/>
      <c r="BP48" s="375"/>
      <c r="BQ48" s="375"/>
      <c r="BR48" s="375"/>
      <c r="BS48" s="375"/>
      <c r="BT48" s="377"/>
      <c r="BU48" s="377"/>
    </row>
    <row r="49" spans="2:73" ht="9" customHeight="1">
      <c r="B49" s="385"/>
      <c r="C49" s="386"/>
      <c r="D49" s="390"/>
      <c r="E49" s="390"/>
      <c r="F49" s="390"/>
      <c r="G49" s="391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2"/>
      <c r="AA49" s="272"/>
      <c r="AB49" s="272"/>
      <c r="AC49" s="272"/>
      <c r="AD49" s="272"/>
      <c r="AE49" s="272"/>
      <c r="AF49" s="277"/>
      <c r="AG49" s="277"/>
      <c r="AH49" s="272"/>
      <c r="AI49" s="272"/>
      <c r="AJ49" s="278"/>
      <c r="AK49" s="278"/>
      <c r="AL49" s="272"/>
      <c r="AM49" s="272"/>
      <c r="AN49" s="277"/>
      <c r="AO49" s="277"/>
      <c r="AP49" s="293"/>
      <c r="AQ49" s="294"/>
      <c r="AR49" s="310"/>
      <c r="AS49" s="310"/>
      <c r="AT49" s="310"/>
      <c r="AU49" s="310"/>
      <c r="AZ49" s="271">
        <f>VLOOKUP(BA49,BT41:BU52,2,0)</f>
        <v>2</v>
      </c>
      <c r="BA49" s="392" t="str">
        <f>B52</f>
        <v>ﾃﾞｨｱﾌﾞﾛｯｻ大阪</v>
      </c>
      <c r="BB49" s="254"/>
      <c r="BC49" s="254"/>
      <c r="BD49" s="254"/>
      <c r="BE49" s="281"/>
      <c r="BJ49" s="375" t="str">
        <f>AI57</f>
        <v>ディスパーロ</v>
      </c>
      <c r="BK49" s="375"/>
      <c r="BL49" s="375"/>
      <c r="BM49" s="375"/>
      <c r="BN49" s="376" t="str">
        <f>IF(AN57&gt;AN60,"5",IF(AN57&lt;AN60,"6","0"))</f>
        <v>5</v>
      </c>
      <c r="BO49" s="376"/>
      <c r="BP49" s="375" t="str">
        <f>IF(AP57&gt;AP60,"5",IF(AP57&lt;AP60,"6","0"))</f>
        <v>0</v>
      </c>
      <c r="BQ49" s="375"/>
      <c r="BR49" s="375">
        <f>BN49+BP49</f>
        <v>5</v>
      </c>
      <c r="BS49" s="375"/>
      <c r="BT49" s="377" t="str">
        <f>BJ49</f>
        <v>ディスパーロ</v>
      </c>
      <c r="BU49" s="377">
        <f>BR49</f>
        <v>5</v>
      </c>
    </row>
    <row r="50" spans="1:73" ht="9" customHeight="1">
      <c r="A50" s="263">
        <f>AN50</f>
        <v>3</v>
      </c>
      <c r="B50" s="264" t="str">
        <f>'時間表'!U8</f>
        <v>辰　市</v>
      </c>
      <c r="C50" s="265"/>
      <c r="D50" s="265"/>
      <c r="E50" s="265"/>
      <c r="F50" s="265"/>
      <c r="G50" s="266"/>
      <c r="H50" s="273"/>
      <c r="I50" s="273"/>
      <c r="J50" s="273"/>
      <c r="K50" s="273"/>
      <c r="L50" s="273"/>
      <c r="M50" s="274"/>
      <c r="N50" s="49" t="str">
        <f>IF(O50="","",IF(O50&gt;R50,"○",IF(O50&lt;R50,"●","△")))</f>
        <v>●</v>
      </c>
      <c r="O50" s="254">
        <f>IF('時間表'!D34="","",'時間表'!D34)</f>
        <v>0</v>
      </c>
      <c r="P50" s="254"/>
      <c r="Q50" s="34"/>
      <c r="R50" s="254">
        <f>IF('時間表'!F34="","",'時間表'!F34)</f>
        <v>5</v>
      </c>
      <c r="S50" s="254"/>
      <c r="T50" s="261" t="str">
        <f>IF(U50="","",IF(U50&gt;X50,"○",IF(U50&lt;X50,"●","△")))</f>
        <v>●</v>
      </c>
      <c r="U50" s="254">
        <f>IF('時間表'!D36="","",'時間表'!D36)</f>
        <v>0</v>
      </c>
      <c r="V50" s="254"/>
      <c r="W50" s="34"/>
      <c r="X50" s="254">
        <f>IF('時間表'!F36="","",'時間表'!F36)</f>
        <v>3</v>
      </c>
      <c r="Y50" s="254"/>
      <c r="Z50" s="267">
        <f>IF('時間表'!D34="","",COUNTIF($H50:$Y51,"○"))</f>
        <v>0</v>
      </c>
      <c r="AA50" s="268"/>
      <c r="AB50" s="267">
        <f>IF('時間表'!D34="","",COUNTIF($H50:$Y51,"△"))</f>
        <v>0</v>
      </c>
      <c r="AC50" s="268"/>
      <c r="AD50" s="267">
        <f>IF('時間表'!D34="","",COUNTIF($H50:$Y51,"●"))</f>
        <v>2</v>
      </c>
      <c r="AE50" s="268"/>
      <c r="AF50" s="260">
        <f>_xlfn.IFERROR(Z50*3+AB50,"")</f>
        <v>0</v>
      </c>
      <c r="AG50" s="260"/>
      <c r="AH50" s="256">
        <f>_xlfn.IFERROR(O50+U50,"")</f>
        <v>0</v>
      </c>
      <c r="AI50" s="257"/>
      <c r="AJ50" s="260">
        <f>_xlfn.IFERROR(R50+X50,"")</f>
        <v>8</v>
      </c>
      <c r="AK50" s="260"/>
      <c r="AL50" s="279">
        <f>_xlfn.IFERROR(AH50-AJ50,"")</f>
        <v>-8</v>
      </c>
      <c r="AM50" s="280"/>
      <c r="AN50" s="260">
        <f>IF('時間表'!D33="","",RANK(AU50,$AU$50:$AU$55,1))</f>
        <v>3</v>
      </c>
      <c r="AO50" s="260"/>
      <c r="AP50" s="311">
        <f>_xlfn.IFERROR(AZ47,"")</f>
        <v>6</v>
      </c>
      <c r="AQ50" s="311"/>
      <c r="AR50" s="250">
        <f>_xlfn.IFERROR(100*RANK(AF50,AF50:AG55,0),"")</f>
        <v>300</v>
      </c>
      <c r="AS50" s="250">
        <f>_xlfn.IFERROR(10*RANK(AL50,AL50:AM55,0),"")</f>
        <v>30</v>
      </c>
      <c r="AT50" s="250">
        <f>_xlfn.IFERROR(RANK(AH50,AH50:AI55,0),"")</f>
        <v>3</v>
      </c>
      <c r="AU50" s="250">
        <f>_xlfn.IFERROR(SUM(AR50:AT51),"")</f>
        <v>333</v>
      </c>
      <c r="AZ50" s="272"/>
      <c r="BA50" s="335"/>
      <c r="BB50" s="255"/>
      <c r="BC50" s="255"/>
      <c r="BD50" s="255"/>
      <c r="BE50" s="282"/>
      <c r="BJ50" s="375"/>
      <c r="BK50" s="375"/>
      <c r="BL50" s="375"/>
      <c r="BM50" s="375"/>
      <c r="BN50" s="376"/>
      <c r="BO50" s="376"/>
      <c r="BP50" s="375"/>
      <c r="BQ50" s="375"/>
      <c r="BR50" s="375"/>
      <c r="BS50" s="375"/>
      <c r="BT50" s="377"/>
      <c r="BU50" s="377"/>
    </row>
    <row r="51" spans="1:73" ht="9" customHeight="1">
      <c r="A51" s="263"/>
      <c r="B51" s="264"/>
      <c r="C51" s="265"/>
      <c r="D51" s="265"/>
      <c r="E51" s="265"/>
      <c r="F51" s="265"/>
      <c r="G51" s="266"/>
      <c r="H51" s="275"/>
      <c r="I51" s="275"/>
      <c r="J51" s="275"/>
      <c r="K51" s="275"/>
      <c r="L51" s="275"/>
      <c r="M51" s="276"/>
      <c r="N51" s="36"/>
      <c r="O51" s="255"/>
      <c r="P51" s="255"/>
      <c r="Q51" s="35"/>
      <c r="R51" s="255"/>
      <c r="S51" s="255"/>
      <c r="T51" s="262"/>
      <c r="U51" s="255"/>
      <c r="V51" s="255"/>
      <c r="W51" s="35"/>
      <c r="X51" s="255"/>
      <c r="Y51" s="255"/>
      <c r="Z51" s="269"/>
      <c r="AA51" s="270"/>
      <c r="AB51" s="269"/>
      <c r="AC51" s="270"/>
      <c r="AD51" s="269"/>
      <c r="AE51" s="270"/>
      <c r="AF51" s="260"/>
      <c r="AG51" s="260"/>
      <c r="AH51" s="258"/>
      <c r="AI51" s="259"/>
      <c r="AJ51" s="260"/>
      <c r="AK51" s="260"/>
      <c r="AL51" s="279"/>
      <c r="AM51" s="280"/>
      <c r="AN51" s="260"/>
      <c r="AO51" s="260"/>
      <c r="AP51" s="311"/>
      <c r="AQ51" s="311"/>
      <c r="AR51" s="250"/>
      <c r="AS51" s="250"/>
      <c r="AT51" s="250"/>
      <c r="AU51" s="250"/>
      <c r="AZ51" s="271">
        <f>VLOOKUP(BA51,BT41:BU52,2,0)</f>
        <v>4</v>
      </c>
      <c r="BA51" s="392" t="str">
        <f>B54</f>
        <v>金　田</v>
      </c>
      <c r="BB51" s="254"/>
      <c r="BC51" s="254"/>
      <c r="BD51" s="254"/>
      <c r="BE51" s="281"/>
      <c r="BJ51" s="375" t="str">
        <f>AI60</f>
        <v>辰　市</v>
      </c>
      <c r="BK51" s="375"/>
      <c r="BL51" s="375"/>
      <c r="BM51" s="375"/>
      <c r="BN51" s="376" t="str">
        <f>IF(AN57&gt;AN60,"6",IF(AN57&lt;AN60,"5","0"))</f>
        <v>6</v>
      </c>
      <c r="BO51" s="376"/>
      <c r="BP51" s="375" t="str">
        <f>IF(AP57&gt;AP60,"6",IF(AP57&lt;AP60,"5","0"))</f>
        <v>0</v>
      </c>
      <c r="BQ51" s="375"/>
      <c r="BR51" s="375">
        <f>BN51+BP51</f>
        <v>6</v>
      </c>
      <c r="BS51" s="375"/>
      <c r="BT51" s="377" t="str">
        <f>BJ51</f>
        <v>辰　市</v>
      </c>
      <c r="BU51" s="377">
        <f>BR51</f>
        <v>6</v>
      </c>
    </row>
    <row r="52" spans="1:73" ht="9" customHeight="1">
      <c r="A52" s="263">
        <f>AN52</f>
        <v>1</v>
      </c>
      <c r="B52" s="264" t="str">
        <f>'時間表'!U9</f>
        <v>ﾃﾞｨｱﾌﾞﾛｯｻ大阪</v>
      </c>
      <c r="C52" s="265"/>
      <c r="D52" s="265"/>
      <c r="E52" s="265"/>
      <c r="F52" s="265"/>
      <c r="G52" s="266"/>
      <c r="H52" s="261" t="str">
        <f>IF(I52="","",IF(I52&gt;L52,"○",IF(I52&lt;L52,"●","△")))</f>
        <v>○</v>
      </c>
      <c r="I52" s="254">
        <f>R50</f>
        <v>5</v>
      </c>
      <c r="J52" s="254"/>
      <c r="K52" s="34"/>
      <c r="L52" s="254">
        <f>O50</f>
        <v>0</v>
      </c>
      <c r="M52" s="281"/>
      <c r="N52" s="251"/>
      <c r="O52" s="252"/>
      <c r="P52" s="252"/>
      <c r="Q52" s="252"/>
      <c r="R52" s="252"/>
      <c r="S52" s="252"/>
      <c r="T52" s="261" t="str">
        <f>IF(U52="","",IF(U52&gt;X52,"○",IF(U52&lt;X52,"●","△")))</f>
        <v>○</v>
      </c>
      <c r="U52" s="254">
        <f>IF('時間表'!D38="","",'時間表'!D38)</f>
        <v>7</v>
      </c>
      <c r="V52" s="254"/>
      <c r="W52" s="34"/>
      <c r="X52" s="254">
        <f>IF('時間表'!F38="","",'時間表'!F38)</f>
        <v>0</v>
      </c>
      <c r="Y52" s="254"/>
      <c r="Z52" s="267">
        <f>IF('時間表'!F34="","",COUNTIF($H52:$Y53,"○"))</f>
        <v>2</v>
      </c>
      <c r="AA52" s="268"/>
      <c r="AB52" s="267">
        <f>IF('時間表'!F34="","",COUNTIF($H52:$Y53,"△"))</f>
        <v>0</v>
      </c>
      <c r="AC52" s="268"/>
      <c r="AD52" s="267">
        <f>IF('時間表'!F34="","",COUNTIF($H52:$Y53,"●"))</f>
        <v>0</v>
      </c>
      <c r="AE52" s="268"/>
      <c r="AF52" s="260">
        <f>_xlfn.IFERROR(Z52*3+AB52,"")</f>
        <v>6</v>
      </c>
      <c r="AG52" s="260"/>
      <c r="AH52" s="256">
        <f>_xlfn.IFERROR(I52+U52,"")</f>
        <v>12</v>
      </c>
      <c r="AI52" s="257"/>
      <c r="AJ52" s="260">
        <f>_xlfn.IFERROR(L52+X52,"")</f>
        <v>0</v>
      </c>
      <c r="AK52" s="260"/>
      <c r="AL52" s="279">
        <f>_xlfn.IFERROR(AH52-AJ52,"")</f>
        <v>12</v>
      </c>
      <c r="AM52" s="280"/>
      <c r="AN52" s="260">
        <f>IF('時間表'!F34="","",RANK(AU52,$AU$50:$AU$55,1))</f>
        <v>1</v>
      </c>
      <c r="AO52" s="260"/>
      <c r="AP52" s="311">
        <f>_xlfn.IFERROR(AZ49,"")</f>
        <v>2</v>
      </c>
      <c r="AQ52" s="311"/>
      <c r="AR52" s="250">
        <f>_xlfn.IFERROR(100*RANK(AF52,AF50:AG55,0),"")</f>
        <v>100</v>
      </c>
      <c r="AS52" s="250">
        <f>_xlfn.IFERROR(10*RANK(AL52,AL50:AM55,0),"")</f>
        <v>10</v>
      </c>
      <c r="AT52" s="250">
        <f>_xlfn.IFERROR(RANK(AH52,AH50:AI55,0),"")</f>
        <v>1</v>
      </c>
      <c r="AU52" s="250">
        <f>_xlfn.IFERROR(SUM(AR52:AT53),"")</f>
        <v>111</v>
      </c>
      <c r="AZ52" s="272"/>
      <c r="BA52" s="335"/>
      <c r="BB52" s="255"/>
      <c r="BC52" s="255"/>
      <c r="BD52" s="255"/>
      <c r="BE52" s="282"/>
      <c r="BJ52" s="375"/>
      <c r="BK52" s="375"/>
      <c r="BL52" s="375"/>
      <c r="BM52" s="375"/>
      <c r="BN52" s="376"/>
      <c r="BO52" s="376"/>
      <c r="BP52" s="375"/>
      <c r="BQ52" s="375"/>
      <c r="BR52" s="375"/>
      <c r="BS52" s="375"/>
      <c r="BT52" s="377"/>
      <c r="BU52" s="377"/>
    </row>
    <row r="53" spans="1:47" ht="9" customHeight="1">
      <c r="A53" s="263"/>
      <c r="B53" s="264"/>
      <c r="C53" s="265"/>
      <c r="D53" s="265"/>
      <c r="E53" s="265"/>
      <c r="F53" s="265"/>
      <c r="G53" s="266"/>
      <c r="H53" s="262"/>
      <c r="I53" s="255"/>
      <c r="J53" s="255"/>
      <c r="K53" s="35"/>
      <c r="L53" s="255"/>
      <c r="M53" s="282"/>
      <c r="N53" s="251"/>
      <c r="O53" s="252"/>
      <c r="P53" s="252"/>
      <c r="Q53" s="252"/>
      <c r="R53" s="252"/>
      <c r="S53" s="252"/>
      <c r="T53" s="262"/>
      <c r="U53" s="255"/>
      <c r="V53" s="255"/>
      <c r="W53" s="35"/>
      <c r="X53" s="255"/>
      <c r="Y53" s="255"/>
      <c r="Z53" s="269"/>
      <c r="AA53" s="270"/>
      <c r="AB53" s="269"/>
      <c r="AC53" s="270"/>
      <c r="AD53" s="269"/>
      <c r="AE53" s="270"/>
      <c r="AF53" s="260"/>
      <c r="AG53" s="260"/>
      <c r="AH53" s="258"/>
      <c r="AI53" s="259"/>
      <c r="AJ53" s="260"/>
      <c r="AK53" s="260"/>
      <c r="AL53" s="279"/>
      <c r="AM53" s="280"/>
      <c r="AN53" s="260"/>
      <c r="AO53" s="260"/>
      <c r="AP53" s="311"/>
      <c r="AQ53" s="311"/>
      <c r="AR53" s="250"/>
      <c r="AS53" s="250"/>
      <c r="AT53" s="250"/>
      <c r="AU53" s="250"/>
    </row>
    <row r="54" spans="1:47" ht="9" customHeight="1">
      <c r="A54" s="263">
        <f>AN54</f>
        <v>2</v>
      </c>
      <c r="B54" s="264" t="str">
        <f>'時間表'!U10</f>
        <v>金　田</v>
      </c>
      <c r="C54" s="265"/>
      <c r="D54" s="265"/>
      <c r="E54" s="265"/>
      <c r="F54" s="265"/>
      <c r="G54" s="266"/>
      <c r="H54" s="261" t="str">
        <f>IF(I54="","",IF(I54&gt;L54,"○",IF(I54&lt;L54,"●","△")))</f>
        <v>○</v>
      </c>
      <c r="I54" s="254">
        <f>X50</f>
        <v>3</v>
      </c>
      <c r="J54" s="254"/>
      <c r="K54" s="34"/>
      <c r="L54" s="254">
        <f>U50</f>
        <v>0</v>
      </c>
      <c r="M54" s="281"/>
      <c r="N54" s="261" t="str">
        <f>IF(O54="","",IF(O54&gt;R54,"○",IF(O54&lt;R54,"●","△")))</f>
        <v>●</v>
      </c>
      <c r="O54" s="254">
        <f>X52</f>
        <v>0</v>
      </c>
      <c r="P54" s="254"/>
      <c r="Q54" s="34"/>
      <c r="R54" s="254">
        <f>U52</f>
        <v>7</v>
      </c>
      <c r="S54" s="281"/>
      <c r="T54" s="251"/>
      <c r="U54" s="252"/>
      <c r="V54" s="252"/>
      <c r="W54" s="252"/>
      <c r="X54" s="252"/>
      <c r="Y54" s="253"/>
      <c r="Z54" s="267">
        <f>IF('時間表'!F36="","",COUNTIF($H54:$Y55,"○"))</f>
        <v>1</v>
      </c>
      <c r="AA54" s="268"/>
      <c r="AB54" s="267">
        <f>IF('時間表'!F36="","",COUNTIF($H54:$Y55,"△"))</f>
        <v>0</v>
      </c>
      <c r="AC54" s="268"/>
      <c r="AD54" s="267">
        <f>IF('時間表'!F36="","",COUNTIF($H54:$Y55,"●"))</f>
        <v>1</v>
      </c>
      <c r="AE54" s="268"/>
      <c r="AF54" s="260">
        <f>_xlfn.IFERROR(Z54*3+AB54,"")</f>
        <v>3</v>
      </c>
      <c r="AG54" s="260"/>
      <c r="AH54" s="256">
        <f>_xlfn.IFERROR(O54+I54,"")</f>
        <v>3</v>
      </c>
      <c r="AI54" s="257"/>
      <c r="AJ54" s="260">
        <f>_xlfn.IFERROR(R54+L54,"")</f>
        <v>7</v>
      </c>
      <c r="AK54" s="260"/>
      <c r="AL54" s="279">
        <f>_xlfn.IFERROR(AH54-AJ54,"")</f>
        <v>-4</v>
      </c>
      <c r="AM54" s="280"/>
      <c r="AN54" s="260">
        <f>IF('時間表'!F36="","",RANK(AU54,$AU$50:$AU$55,1))</f>
        <v>2</v>
      </c>
      <c r="AO54" s="260"/>
      <c r="AP54" s="311">
        <f>_xlfn.IFERROR(AZ51,"")</f>
        <v>4</v>
      </c>
      <c r="AQ54" s="311"/>
      <c r="AR54" s="250">
        <f>_xlfn.IFERROR(100*RANK(AF54,AF50:AG55,0),"")</f>
        <v>200</v>
      </c>
      <c r="AS54" s="250">
        <f>_xlfn.IFERROR(10*RANK(AL54,AL50:AM55,0),"")</f>
        <v>20</v>
      </c>
      <c r="AT54" s="250">
        <f>_xlfn.IFERROR(RANK(AH54,AH50:AI55,0),"")</f>
        <v>2</v>
      </c>
      <c r="AU54" s="250">
        <f>_xlfn.IFERROR(SUM(AR54:AT55),"")</f>
        <v>222</v>
      </c>
    </row>
    <row r="55" spans="1:47" ht="9" customHeight="1">
      <c r="A55" s="263"/>
      <c r="B55" s="264"/>
      <c r="C55" s="265"/>
      <c r="D55" s="265"/>
      <c r="E55" s="265"/>
      <c r="F55" s="265"/>
      <c r="G55" s="266"/>
      <c r="H55" s="262"/>
      <c r="I55" s="255"/>
      <c r="J55" s="255"/>
      <c r="K55" s="35"/>
      <c r="L55" s="255"/>
      <c r="M55" s="282"/>
      <c r="N55" s="262"/>
      <c r="O55" s="255"/>
      <c r="P55" s="255"/>
      <c r="Q55" s="35"/>
      <c r="R55" s="255"/>
      <c r="S55" s="282"/>
      <c r="T55" s="251"/>
      <c r="U55" s="252"/>
      <c r="V55" s="252"/>
      <c r="W55" s="252"/>
      <c r="X55" s="252"/>
      <c r="Y55" s="253"/>
      <c r="Z55" s="269"/>
      <c r="AA55" s="270"/>
      <c r="AB55" s="269"/>
      <c r="AC55" s="270"/>
      <c r="AD55" s="269"/>
      <c r="AE55" s="270"/>
      <c r="AF55" s="260"/>
      <c r="AG55" s="260"/>
      <c r="AH55" s="258"/>
      <c r="AI55" s="259"/>
      <c r="AJ55" s="260"/>
      <c r="AK55" s="260"/>
      <c r="AL55" s="279"/>
      <c r="AM55" s="280"/>
      <c r="AN55" s="260"/>
      <c r="AO55" s="260"/>
      <c r="AP55" s="311"/>
      <c r="AQ55" s="311"/>
      <c r="AR55" s="250"/>
      <c r="AS55" s="250"/>
      <c r="AT55" s="250"/>
      <c r="AU55" s="250"/>
    </row>
    <row r="56" spans="1:47" ht="9" customHeight="1">
      <c r="A56" s="40"/>
      <c r="B56" s="39"/>
      <c r="C56" s="39"/>
      <c r="D56" s="39"/>
      <c r="E56" s="39"/>
      <c r="F56" s="39"/>
      <c r="G56" s="39"/>
      <c r="H56" s="41"/>
      <c r="I56" s="39"/>
      <c r="J56" s="41"/>
      <c r="K56" s="41"/>
      <c r="L56" s="39"/>
      <c r="M56" s="39"/>
      <c r="N56" s="41"/>
      <c r="O56" s="39"/>
      <c r="P56" s="39"/>
      <c r="Q56" s="41"/>
      <c r="R56" s="39"/>
      <c r="S56" s="39"/>
      <c r="T56" s="39"/>
      <c r="U56" s="39"/>
      <c r="V56" s="39"/>
      <c r="W56" s="39"/>
      <c r="X56" s="39"/>
      <c r="Y56" s="39"/>
      <c r="Z56" s="45"/>
      <c r="AA56" s="45"/>
      <c r="AB56" s="45"/>
      <c r="AC56" s="45"/>
      <c r="AD56" s="45"/>
      <c r="AE56" s="45"/>
      <c r="AF56" s="39"/>
      <c r="AG56" s="39"/>
      <c r="AH56" s="57"/>
      <c r="AI56" s="57"/>
      <c r="AJ56" s="39"/>
      <c r="AK56" s="39"/>
      <c r="AL56" s="57"/>
      <c r="AM56" s="57"/>
      <c r="AN56" s="58"/>
      <c r="AO56" s="58"/>
      <c r="AR56" s="45"/>
      <c r="AS56" s="45"/>
      <c r="AT56" s="45"/>
      <c r="AU56" s="45"/>
    </row>
    <row r="57" spans="1:43" ht="9" customHeight="1">
      <c r="A57" s="40"/>
      <c r="B57" s="301" t="s">
        <v>81</v>
      </c>
      <c r="C57" s="301"/>
      <c r="D57" s="301"/>
      <c r="E57" s="301"/>
      <c r="F57" s="319">
        <v>1</v>
      </c>
      <c r="G57" s="295" t="str">
        <f>IF('時間表'!F37="","",VLOOKUP(F57,EⅠ,2,0))</f>
        <v>柏　田</v>
      </c>
      <c r="H57" s="295"/>
      <c r="I57" s="295"/>
      <c r="J57" s="295"/>
      <c r="K57" s="295"/>
      <c r="L57" s="373">
        <f>IF('時間表'!D43="","",'時間表'!D43)</f>
        <v>2</v>
      </c>
      <c r="M57" s="373"/>
      <c r="N57" s="356">
        <f>IF('時間表'!D44="","",'時間表'!D44)</f>
      </c>
      <c r="O57" s="357"/>
      <c r="P57" s="300" t="s">
        <v>84</v>
      </c>
      <c r="Q57" s="301"/>
      <c r="R57" s="301"/>
      <c r="S57" s="301"/>
      <c r="T57" s="319">
        <v>2</v>
      </c>
      <c r="U57" s="297" t="str">
        <f>_xlfn.IFERROR(VLOOKUP(T57,EⅠ,2,0),"")</f>
        <v>高　市</v>
      </c>
      <c r="V57" s="297"/>
      <c r="W57" s="297"/>
      <c r="X57" s="297"/>
      <c r="Y57" s="297"/>
      <c r="Z57" s="373">
        <f>IF('時間表'!D41="","",'時間表'!D41)</f>
        <v>4</v>
      </c>
      <c r="AA57" s="373"/>
      <c r="AB57" s="356">
        <f>IF('時間表'!D42="","",'時間表'!D42)</f>
      </c>
      <c r="AC57" s="357"/>
      <c r="AD57" s="402" t="s">
        <v>86</v>
      </c>
      <c r="AE57" s="403"/>
      <c r="AF57" s="403"/>
      <c r="AG57" s="403"/>
      <c r="AH57" s="319">
        <v>3</v>
      </c>
      <c r="AI57" s="297" t="str">
        <f>_xlfn.IFERROR(VLOOKUP(AH57,EⅠ,2,0),"")</f>
        <v>ディスパーロ</v>
      </c>
      <c r="AJ57" s="297"/>
      <c r="AK57" s="297"/>
      <c r="AL57" s="297"/>
      <c r="AM57" s="297"/>
      <c r="AN57" s="373">
        <f>IF('時間表'!D39="","",'時間表'!D39)</f>
        <v>9</v>
      </c>
      <c r="AO57" s="373"/>
      <c r="AP57" s="356">
        <f>IF('時間表'!D40="","",'時間表'!D40)</f>
      </c>
      <c r="AQ57" s="357"/>
    </row>
    <row r="58" spans="1:43" ht="9" customHeight="1" thickBot="1">
      <c r="A58" s="40"/>
      <c r="B58" s="301"/>
      <c r="C58" s="301"/>
      <c r="D58" s="301"/>
      <c r="E58" s="301"/>
      <c r="F58" s="320"/>
      <c r="G58" s="296"/>
      <c r="H58" s="296"/>
      <c r="I58" s="296"/>
      <c r="J58" s="296"/>
      <c r="K58" s="296"/>
      <c r="L58" s="373"/>
      <c r="M58" s="373"/>
      <c r="N58" s="358"/>
      <c r="O58" s="359"/>
      <c r="P58" s="300"/>
      <c r="Q58" s="301"/>
      <c r="R58" s="301"/>
      <c r="S58" s="301"/>
      <c r="T58" s="320"/>
      <c r="U58" s="298"/>
      <c r="V58" s="298"/>
      <c r="W58" s="298"/>
      <c r="X58" s="298"/>
      <c r="Y58" s="298"/>
      <c r="Z58" s="373"/>
      <c r="AA58" s="373"/>
      <c r="AB58" s="358"/>
      <c r="AC58" s="359"/>
      <c r="AD58" s="402"/>
      <c r="AE58" s="403"/>
      <c r="AF58" s="403"/>
      <c r="AG58" s="403"/>
      <c r="AH58" s="320"/>
      <c r="AI58" s="298"/>
      <c r="AJ58" s="298"/>
      <c r="AK58" s="298"/>
      <c r="AL58" s="298"/>
      <c r="AM58" s="298"/>
      <c r="AN58" s="373"/>
      <c r="AO58" s="373"/>
      <c r="AP58" s="358"/>
      <c r="AQ58" s="359"/>
    </row>
    <row r="59" spans="1:43" ht="9" customHeight="1">
      <c r="A59" s="40"/>
      <c r="B59" s="46"/>
      <c r="C59" s="127"/>
      <c r="D59" s="46"/>
      <c r="E59" s="39"/>
      <c r="F59" s="39"/>
      <c r="G59" s="39"/>
      <c r="H59" s="40"/>
      <c r="I59" s="39"/>
      <c r="J59" s="41"/>
      <c r="K59" s="37"/>
      <c r="L59" s="39"/>
      <c r="M59" s="124"/>
      <c r="N59" s="400" t="s">
        <v>123</v>
      </c>
      <c r="O59" s="400"/>
      <c r="P59" s="46"/>
      <c r="Q59" s="127"/>
      <c r="R59" s="46"/>
      <c r="S59" s="39"/>
      <c r="T59" s="39"/>
      <c r="U59" s="39"/>
      <c r="V59" s="39"/>
      <c r="W59" s="39"/>
      <c r="X59" s="41"/>
      <c r="Y59" s="37"/>
      <c r="Z59" s="39"/>
      <c r="AA59" s="124"/>
      <c r="AB59" s="400" t="s">
        <v>123</v>
      </c>
      <c r="AC59" s="400"/>
      <c r="AD59" s="46"/>
      <c r="AE59" s="127"/>
      <c r="AF59" s="46"/>
      <c r="AG59" s="39"/>
      <c r="AH59" s="39"/>
      <c r="AI59" s="39"/>
      <c r="AJ59" s="39"/>
      <c r="AK59" s="39"/>
      <c r="AL59" s="41"/>
      <c r="AM59" s="37"/>
      <c r="AN59" s="39"/>
      <c r="AO59" s="124"/>
      <c r="AP59" s="400" t="s">
        <v>123</v>
      </c>
      <c r="AQ59" s="400"/>
    </row>
    <row r="60" spans="1:53" ht="9" customHeight="1">
      <c r="A60" s="40"/>
      <c r="B60" s="301" t="s">
        <v>82</v>
      </c>
      <c r="C60" s="301"/>
      <c r="D60" s="301"/>
      <c r="E60" s="301"/>
      <c r="F60" s="319">
        <v>1</v>
      </c>
      <c r="G60" s="295" t="str">
        <f>IF('時間表'!F38="","",VLOOKUP(F60,EⅡ,2,0))</f>
        <v>ﾃﾞｨｱﾌﾞﾛｯｻ大阪</v>
      </c>
      <c r="H60" s="295"/>
      <c r="I60" s="295"/>
      <c r="J60" s="295"/>
      <c r="K60" s="295"/>
      <c r="L60" s="373">
        <f>IF('時間表'!F43="","",'時間表'!F43)</f>
        <v>0</v>
      </c>
      <c r="M60" s="373"/>
      <c r="N60" s="356">
        <f>IF('時間表'!F44="","",'時間表'!F44)</f>
      </c>
      <c r="O60" s="357"/>
      <c r="P60" s="300" t="s">
        <v>85</v>
      </c>
      <c r="Q60" s="301"/>
      <c r="R60" s="301"/>
      <c r="S60" s="301"/>
      <c r="T60" s="319">
        <v>2</v>
      </c>
      <c r="U60" s="297" t="str">
        <f>_xlfn.IFERROR(VLOOKUP(T60,EⅡ,2,0),"")</f>
        <v>金　田</v>
      </c>
      <c r="V60" s="297"/>
      <c r="W60" s="297"/>
      <c r="X60" s="297"/>
      <c r="Y60" s="297"/>
      <c r="Z60" s="373">
        <f>IF('時間表'!F41="","",'時間表'!F41)</f>
        <v>2</v>
      </c>
      <c r="AA60" s="373"/>
      <c r="AB60" s="356">
        <f>IF('時間表'!F42="","",'時間表'!F42)</f>
      </c>
      <c r="AC60" s="357"/>
      <c r="AD60" s="300" t="s">
        <v>87</v>
      </c>
      <c r="AE60" s="301"/>
      <c r="AF60" s="301"/>
      <c r="AG60" s="301"/>
      <c r="AH60" s="319">
        <v>3</v>
      </c>
      <c r="AI60" s="297" t="str">
        <f>_xlfn.IFERROR(VLOOKUP(AH60,EⅡ,2,0),"")</f>
        <v>辰　市</v>
      </c>
      <c r="AJ60" s="297"/>
      <c r="AK60" s="297"/>
      <c r="AL60" s="297"/>
      <c r="AM60" s="297"/>
      <c r="AN60" s="373">
        <f>IF('時間表'!F39="","",'時間表'!F39)</f>
        <v>1</v>
      </c>
      <c r="AO60" s="373"/>
      <c r="AP60" s="356">
        <f>IF('時間表'!F40="","",'時間表'!F40)</f>
      </c>
      <c r="AQ60" s="357"/>
      <c r="AR60" s="37"/>
      <c r="AS60" s="37"/>
      <c r="AT60" s="59"/>
      <c r="AU60" s="60"/>
      <c r="AV60" s="60"/>
      <c r="AW60" s="60"/>
      <c r="AX60" s="60"/>
      <c r="AY60" s="60"/>
      <c r="AZ60" s="60"/>
      <c r="BA60" s="60"/>
    </row>
    <row r="61" spans="1:53" ht="9" customHeight="1" thickBot="1">
      <c r="A61" s="40"/>
      <c r="B61" s="301"/>
      <c r="C61" s="301"/>
      <c r="D61" s="301"/>
      <c r="E61" s="301"/>
      <c r="F61" s="320"/>
      <c r="G61" s="296"/>
      <c r="H61" s="296"/>
      <c r="I61" s="296"/>
      <c r="J61" s="296"/>
      <c r="K61" s="296"/>
      <c r="L61" s="373"/>
      <c r="M61" s="373"/>
      <c r="N61" s="358"/>
      <c r="O61" s="359"/>
      <c r="P61" s="300"/>
      <c r="Q61" s="301"/>
      <c r="R61" s="301"/>
      <c r="S61" s="301"/>
      <c r="T61" s="320"/>
      <c r="U61" s="298"/>
      <c r="V61" s="298"/>
      <c r="W61" s="298"/>
      <c r="X61" s="298"/>
      <c r="Y61" s="298"/>
      <c r="Z61" s="373"/>
      <c r="AA61" s="373"/>
      <c r="AB61" s="358"/>
      <c r="AC61" s="359"/>
      <c r="AD61" s="300"/>
      <c r="AE61" s="301"/>
      <c r="AF61" s="301"/>
      <c r="AG61" s="301"/>
      <c r="AH61" s="320"/>
      <c r="AI61" s="298"/>
      <c r="AJ61" s="298"/>
      <c r="AK61" s="298"/>
      <c r="AL61" s="298"/>
      <c r="AM61" s="298"/>
      <c r="AN61" s="373"/>
      <c r="AO61" s="373"/>
      <c r="AP61" s="358"/>
      <c r="AQ61" s="359"/>
      <c r="AR61" s="37"/>
      <c r="AS61" s="37"/>
      <c r="AT61" s="59"/>
      <c r="AU61" s="60"/>
      <c r="AV61" s="60"/>
      <c r="AW61" s="60"/>
      <c r="AX61" s="60"/>
      <c r="AY61" s="60"/>
      <c r="AZ61" s="60"/>
      <c r="BA61" s="60"/>
    </row>
    <row r="66" spans="2:19" ht="9" customHeight="1">
      <c r="B66" s="382" t="s">
        <v>61</v>
      </c>
      <c r="C66" s="382"/>
      <c r="D66" s="378" t="str">
        <f>'時間表'!V15</f>
        <v>川西小学校Ｇ</v>
      </c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54"/>
      <c r="R66" s="54"/>
      <c r="S66" s="54"/>
    </row>
    <row r="67" spans="2:19" ht="9" customHeight="1">
      <c r="B67" s="382"/>
      <c r="C67" s="382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54"/>
      <c r="R67" s="54"/>
      <c r="S67" s="54"/>
    </row>
    <row r="69" spans="2:57" ht="9" customHeight="1">
      <c r="B69" s="383" t="str">
        <f>'時間表'!T13</f>
        <v>F</v>
      </c>
      <c r="C69" s="384"/>
      <c r="D69" s="387" t="s">
        <v>79</v>
      </c>
      <c r="E69" s="387"/>
      <c r="F69" s="387"/>
      <c r="G69" s="399"/>
      <c r="H69" s="278" t="str">
        <f>B71</f>
        <v>明　治</v>
      </c>
      <c r="I69" s="278"/>
      <c r="J69" s="278"/>
      <c r="K69" s="278"/>
      <c r="L69" s="278"/>
      <c r="M69" s="278"/>
      <c r="N69" s="278" t="str">
        <f>B73</f>
        <v>ﾊﾟﾙﾃｨｰﾀﾞ生駒</v>
      </c>
      <c r="O69" s="278"/>
      <c r="P69" s="278"/>
      <c r="Q69" s="278"/>
      <c r="R69" s="278"/>
      <c r="S69" s="278"/>
      <c r="T69" s="278" t="str">
        <f>B75</f>
        <v>エルマーノ大阪</v>
      </c>
      <c r="U69" s="278"/>
      <c r="V69" s="278"/>
      <c r="W69" s="278"/>
      <c r="X69" s="278"/>
      <c r="Y69" s="278"/>
      <c r="Z69" s="271" t="s">
        <v>62</v>
      </c>
      <c r="AA69" s="271"/>
      <c r="AB69" s="271" t="s">
        <v>63</v>
      </c>
      <c r="AC69" s="271"/>
      <c r="AD69" s="271" t="s">
        <v>64</v>
      </c>
      <c r="AE69" s="271"/>
      <c r="AF69" s="271" t="s">
        <v>67</v>
      </c>
      <c r="AG69" s="271"/>
      <c r="AH69" s="271" t="s">
        <v>65</v>
      </c>
      <c r="AI69" s="271"/>
      <c r="AJ69" s="278" t="s">
        <v>69</v>
      </c>
      <c r="AK69" s="278"/>
      <c r="AL69" s="271" t="s">
        <v>66</v>
      </c>
      <c r="AM69" s="271"/>
      <c r="AN69" s="271" t="s">
        <v>68</v>
      </c>
      <c r="AO69" s="271"/>
      <c r="AP69" s="291" t="s">
        <v>83</v>
      </c>
      <c r="AQ69" s="292"/>
      <c r="AR69" s="310" t="s">
        <v>57</v>
      </c>
      <c r="AS69" s="310" t="s">
        <v>59</v>
      </c>
      <c r="AT69" s="310" t="s">
        <v>58</v>
      </c>
      <c r="AU69" s="310" t="s">
        <v>60</v>
      </c>
      <c r="AZ69" s="392" t="str">
        <f>B69</f>
        <v>F</v>
      </c>
      <c r="BA69" s="254"/>
      <c r="BB69" s="254" t="s">
        <v>88</v>
      </c>
      <c r="BC69" s="254"/>
      <c r="BD69" s="254"/>
      <c r="BE69" s="281"/>
    </row>
    <row r="70" spans="2:57" ht="9" customHeight="1">
      <c r="B70" s="385"/>
      <c r="C70" s="386"/>
      <c r="D70" s="390"/>
      <c r="E70" s="390"/>
      <c r="F70" s="390"/>
      <c r="G70" s="391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2"/>
      <c r="AA70" s="272"/>
      <c r="AB70" s="272"/>
      <c r="AC70" s="272"/>
      <c r="AD70" s="272"/>
      <c r="AE70" s="272"/>
      <c r="AF70" s="277"/>
      <c r="AG70" s="277"/>
      <c r="AH70" s="272"/>
      <c r="AI70" s="272"/>
      <c r="AJ70" s="278"/>
      <c r="AK70" s="278"/>
      <c r="AL70" s="272"/>
      <c r="AM70" s="272"/>
      <c r="AN70" s="277"/>
      <c r="AO70" s="277"/>
      <c r="AP70" s="293"/>
      <c r="AQ70" s="294"/>
      <c r="AR70" s="310"/>
      <c r="AS70" s="310"/>
      <c r="AT70" s="310"/>
      <c r="AU70" s="310"/>
      <c r="AZ70" s="335"/>
      <c r="BA70" s="255"/>
      <c r="BB70" s="255"/>
      <c r="BC70" s="255"/>
      <c r="BD70" s="255"/>
      <c r="BE70" s="282"/>
    </row>
    <row r="71" spans="1:73" ht="9" customHeight="1">
      <c r="A71" s="263">
        <f>AN71</f>
        <v>3</v>
      </c>
      <c r="B71" s="264" t="str">
        <f>'時間表'!U15</f>
        <v>明　治</v>
      </c>
      <c r="C71" s="265"/>
      <c r="D71" s="265"/>
      <c r="E71" s="265"/>
      <c r="F71" s="265"/>
      <c r="G71" s="266"/>
      <c r="H71" s="273"/>
      <c r="I71" s="273"/>
      <c r="J71" s="273"/>
      <c r="K71" s="273"/>
      <c r="L71" s="273"/>
      <c r="M71" s="274"/>
      <c r="N71" s="261" t="str">
        <f>IF(O71="","",IF(O71&gt;R71,"○",IF(O71&lt;R71,"●","△")))</f>
        <v>●</v>
      </c>
      <c r="O71" s="254">
        <f>IF('時間表'!J33="","",'時間表'!J33)</f>
        <v>0</v>
      </c>
      <c r="P71" s="254"/>
      <c r="Q71" s="34"/>
      <c r="R71" s="254">
        <f>IF('時間表'!L33="","",'時間表'!L33)</f>
        <v>16</v>
      </c>
      <c r="S71" s="254"/>
      <c r="T71" s="261" t="str">
        <f>IF(U71="","",IF(U71&gt;X71,"○",IF(U71&lt;X71,"●","△")))</f>
        <v>●</v>
      </c>
      <c r="U71" s="254">
        <f>IF('時間表'!J35="","",'時間表'!J35)</f>
        <v>0</v>
      </c>
      <c r="V71" s="254"/>
      <c r="W71" s="34"/>
      <c r="X71" s="254">
        <f>IF('時間表'!L35="","",'時間表'!L35)</f>
        <v>6</v>
      </c>
      <c r="Y71" s="254"/>
      <c r="Z71" s="267">
        <f>IF('時間表'!J33="","",COUNTIF($H71:$Y72,"○"))</f>
        <v>0</v>
      </c>
      <c r="AA71" s="268"/>
      <c r="AB71" s="267">
        <f>IF('時間表'!J33="","",COUNTIF($H71:$Y72,"△"))</f>
        <v>0</v>
      </c>
      <c r="AC71" s="268"/>
      <c r="AD71" s="267">
        <f>IF('時間表'!J33="","",COUNTIF($H71:$Y72,"●"))</f>
        <v>2</v>
      </c>
      <c r="AE71" s="268"/>
      <c r="AF71" s="260">
        <f>_xlfn.IFERROR(Z71*3+AB71,"")</f>
        <v>0</v>
      </c>
      <c r="AG71" s="260"/>
      <c r="AH71" s="256">
        <f>_xlfn.IFERROR(O71+U71,"")</f>
        <v>0</v>
      </c>
      <c r="AI71" s="257"/>
      <c r="AJ71" s="260">
        <f>_xlfn.IFERROR(R71+X71,"")</f>
        <v>22</v>
      </c>
      <c r="AK71" s="260"/>
      <c r="AL71" s="279">
        <f>_xlfn.IFERROR(AH71-AJ71,"")</f>
        <v>-22</v>
      </c>
      <c r="AM71" s="280"/>
      <c r="AN71" s="260">
        <f>IF('時間表'!J33="","",RANK(AU71,$AU$71:$AU$76,1))</f>
        <v>3</v>
      </c>
      <c r="AO71" s="260"/>
      <c r="AP71" s="311">
        <f>_xlfn.IFERROR(AZ71,"")</f>
        <v>6</v>
      </c>
      <c r="AQ71" s="311"/>
      <c r="AR71" s="250">
        <f>_xlfn.IFERROR(100*RANK(AF71,AF71:AG76,0),"")</f>
        <v>300</v>
      </c>
      <c r="AS71" s="250">
        <f>_xlfn.IFERROR(10*RANK(AL71,AL71:AM76,0),"")</f>
        <v>30</v>
      </c>
      <c r="AT71" s="250">
        <f>_xlfn.IFERROR(RANK(AH71,AH71:AI76,0),"")</f>
        <v>3</v>
      </c>
      <c r="AU71" s="250">
        <f>_xlfn.IFERROR(SUM(AR71:AT72),"")</f>
        <v>333</v>
      </c>
      <c r="AZ71" s="278">
        <f>VLOOKUP(BA71,BT71:BU82,2,0)</f>
        <v>6</v>
      </c>
      <c r="BA71" s="278" t="str">
        <f>B71</f>
        <v>明　治</v>
      </c>
      <c r="BB71" s="278"/>
      <c r="BC71" s="278"/>
      <c r="BD71" s="278"/>
      <c r="BE71" s="278"/>
      <c r="BJ71" s="375" t="str">
        <f>G87</f>
        <v>エルマーノ大阪</v>
      </c>
      <c r="BK71" s="375"/>
      <c r="BL71" s="375"/>
      <c r="BM71" s="375"/>
      <c r="BN71" s="376" t="str">
        <f>IF(L87&gt;L90,"1",IF(L87&lt;L90,"2","0"))</f>
        <v>2</v>
      </c>
      <c r="BO71" s="376"/>
      <c r="BP71" s="375" t="str">
        <f>IF(N87&gt;N90,"1",IF(N87&lt;N90,"2","0"))</f>
        <v>0</v>
      </c>
      <c r="BQ71" s="375"/>
      <c r="BR71" s="375">
        <f>BN71+BP71</f>
        <v>2</v>
      </c>
      <c r="BS71" s="375"/>
      <c r="BT71" s="377" t="str">
        <f>BJ71</f>
        <v>エルマーノ大阪</v>
      </c>
      <c r="BU71" s="377">
        <f>BR71</f>
        <v>2</v>
      </c>
    </row>
    <row r="72" spans="1:73" ht="9" customHeight="1">
      <c r="A72" s="263"/>
      <c r="B72" s="264"/>
      <c r="C72" s="265"/>
      <c r="D72" s="265"/>
      <c r="E72" s="265"/>
      <c r="F72" s="265"/>
      <c r="G72" s="266"/>
      <c r="H72" s="275"/>
      <c r="I72" s="275"/>
      <c r="J72" s="275"/>
      <c r="K72" s="275"/>
      <c r="L72" s="275"/>
      <c r="M72" s="276"/>
      <c r="N72" s="262"/>
      <c r="O72" s="255"/>
      <c r="P72" s="255"/>
      <c r="Q72" s="35"/>
      <c r="R72" s="255"/>
      <c r="S72" s="255"/>
      <c r="T72" s="262"/>
      <c r="U72" s="255"/>
      <c r="V72" s="255"/>
      <c r="W72" s="35"/>
      <c r="X72" s="255"/>
      <c r="Y72" s="255"/>
      <c r="Z72" s="269"/>
      <c r="AA72" s="270"/>
      <c r="AB72" s="269"/>
      <c r="AC72" s="270"/>
      <c r="AD72" s="269"/>
      <c r="AE72" s="270"/>
      <c r="AF72" s="260"/>
      <c r="AG72" s="260"/>
      <c r="AH72" s="258"/>
      <c r="AI72" s="259"/>
      <c r="AJ72" s="260"/>
      <c r="AK72" s="260"/>
      <c r="AL72" s="279"/>
      <c r="AM72" s="280"/>
      <c r="AN72" s="260"/>
      <c r="AO72" s="260"/>
      <c r="AP72" s="311"/>
      <c r="AQ72" s="311"/>
      <c r="AR72" s="250"/>
      <c r="AS72" s="250"/>
      <c r="AT72" s="250"/>
      <c r="AU72" s="250"/>
      <c r="AZ72" s="278"/>
      <c r="BA72" s="278"/>
      <c r="BB72" s="278"/>
      <c r="BC72" s="278"/>
      <c r="BD72" s="278"/>
      <c r="BE72" s="278"/>
      <c r="BJ72" s="375"/>
      <c r="BK72" s="375"/>
      <c r="BL72" s="375"/>
      <c r="BM72" s="375"/>
      <c r="BN72" s="376"/>
      <c r="BO72" s="376"/>
      <c r="BP72" s="375"/>
      <c r="BQ72" s="375"/>
      <c r="BR72" s="375"/>
      <c r="BS72" s="375"/>
      <c r="BT72" s="377"/>
      <c r="BU72" s="377"/>
    </row>
    <row r="73" spans="1:73" ht="9" customHeight="1">
      <c r="A73" s="263">
        <f>AN73</f>
        <v>2</v>
      </c>
      <c r="B73" s="264" t="str">
        <f>'時間表'!U17</f>
        <v>ﾊﾟﾙﾃｨｰﾀﾞ生駒</v>
      </c>
      <c r="C73" s="265"/>
      <c r="D73" s="265"/>
      <c r="E73" s="265"/>
      <c r="F73" s="265"/>
      <c r="G73" s="266"/>
      <c r="H73" s="261" t="str">
        <f>IF(I73="","",IF(I73&gt;L73,"○",IF(I73&lt;L73,"●","△")))</f>
        <v>○</v>
      </c>
      <c r="I73" s="254">
        <f>R71</f>
        <v>16</v>
      </c>
      <c r="J73" s="254"/>
      <c r="K73" s="34"/>
      <c r="L73" s="254">
        <f>O71</f>
        <v>0</v>
      </c>
      <c r="M73" s="281"/>
      <c r="N73" s="251"/>
      <c r="O73" s="252"/>
      <c r="P73" s="252"/>
      <c r="Q73" s="252"/>
      <c r="R73" s="252"/>
      <c r="S73" s="252"/>
      <c r="T73" s="261" t="str">
        <f>IF(U73="","",IF(U73&gt;X73,"○",IF(U73&lt;X73,"●","△")))</f>
        <v>●</v>
      </c>
      <c r="U73" s="254">
        <f>IF('時間表'!J37="","",'時間表'!J37)</f>
        <v>0</v>
      </c>
      <c r="V73" s="254"/>
      <c r="W73" s="34"/>
      <c r="X73" s="254">
        <f>IF('時間表'!L37="","",'時間表'!L37)</f>
        <v>3</v>
      </c>
      <c r="Y73" s="254"/>
      <c r="Z73" s="267">
        <f>IF('時間表'!L33="","",COUNTIF($H73:$Y74,"○"))</f>
        <v>1</v>
      </c>
      <c r="AA73" s="268"/>
      <c r="AB73" s="267">
        <f>IF('時間表'!L33="","",COUNTIF($H73:$Y74,"△"))</f>
        <v>0</v>
      </c>
      <c r="AC73" s="268"/>
      <c r="AD73" s="267">
        <f>IF('時間表'!L33="","",COUNTIF($H73:$Y74,"●"))</f>
        <v>1</v>
      </c>
      <c r="AE73" s="268"/>
      <c r="AF73" s="260">
        <f>_xlfn.IFERROR(Z73*3+AB73,"")</f>
        <v>3</v>
      </c>
      <c r="AG73" s="260"/>
      <c r="AH73" s="256">
        <f>_xlfn.IFERROR(I73+U73,"")</f>
        <v>16</v>
      </c>
      <c r="AI73" s="257"/>
      <c r="AJ73" s="260">
        <f>_xlfn.IFERROR(L73+X73,"")</f>
        <v>3</v>
      </c>
      <c r="AK73" s="260"/>
      <c r="AL73" s="279">
        <f>_xlfn.IFERROR(AH73-AJ73,"")</f>
        <v>13</v>
      </c>
      <c r="AM73" s="280"/>
      <c r="AN73" s="260">
        <f>IF('時間表'!L33="","",RANK(AU73,$AU$71:$AU$76,1))</f>
        <v>2</v>
      </c>
      <c r="AO73" s="260"/>
      <c r="AP73" s="311">
        <f>_xlfn.IFERROR(AZ73,"")</f>
        <v>3</v>
      </c>
      <c r="AQ73" s="311"/>
      <c r="AR73" s="250">
        <f>_xlfn.IFERROR(100*RANK(AF73,AF71:AG76,0),"")</f>
        <v>200</v>
      </c>
      <c r="AS73" s="250">
        <f>_xlfn.IFERROR(10*RANK(AL73,AL71:AM76,0),"")</f>
        <v>10</v>
      </c>
      <c r="AT73" s="250">
        <f>_xlfn.IFERROR(RANK(AH73,AH71:AI76,0),"")</f>
        <v>1</v>
      </c>
      <c r="AU73" s="250">
        <f>_xlfn.IFERROR(SUM(AR73:AT74),"")</f>
        <v>211</v>
      </c>
      <c r="AZ73" s="278">
        <f>VLOOKUP(BA73,BT71:BU82,2,0)</f>
        <v>3</v>
      </c>
      <c r="BA73" s="278" t="str">
        <f>B73</f>
        <v>ﾊﾟﾙﾃｨｰﾀﾞ生駒</v>
      </c>
      <c r="BB73" s="278"/>
      <c r="BC73" s="278"/>
      <c r="BD73" s="278"/>
      <c r="BE73" s="278"/>
      <c r="BJ73" s="375" t="str">
        <f>G90</f>
        <v>Del Sole Shiki</v>
      </c>
      <c r="BK73" s="375"/>
      <c r="BL73" s="375"/>
      <c r="BM73" s="375"/>
      <c r="BN73" s="376" t="str">
        <f>IF(L87&gt;L90,"2",IF(L87&lt;L90,"1","0"))</f>
        <v>1</v>
      </c>
      <c r="BO73" s="376"/>
      <c r="BP73" s="375" t="str">
        <f>IF(N87&gt;N90,"2",IF(N87&lt;N90,"1","0"))</f>
        <v>0</v>
      </c>
      <c r="BQ73" s="375"/>
      <c r="BR73" s="375">
        <f>BN73+BP73</f>
        <v>1</v>
      </c>
      <c r="BS73" s="375"/>
      <c r="BT73" s="377" t="str">
        <f>BJ73</f>
        <v>Del Sole Shiki</v>
      </c>
      <c r="BU73" s="377">
        <f>BR73</f>
        <v>1</v>
      </c>
    </row>
    <row r="74" spans="1:73" ht="9" customHeight="1">
      <c r="A74" s="263"/>
      <c r="B74" s="264"/>
      <c r="C74" s="265"/>
      <c r="D74" s="265"/>
      <c r="E74" s="265"/>
      <c r="F74" s="265"/>
      <c r="G74" s="266"/>
      <c r="H74" s="262"/>
      <c r="I74" s="255"/>
      <c r="J74" s="255"/>
      <c r="K74" s="35"/>
      <c r="L74" s="255"/>
      <c r="M74" s="282"/>
      <c r="N74" s="251"/>
      <c r="O74" s="252"/>
      <c r="P74" s="252"/>
      <c r="Q74" s="252"/>
      <c r="R74" s="252"/>
      <c r="S74" s="252"/>
      <c r="T74" s="262"/>
      <c r="U74" s="255"/>
      <c r="V74" s="255"/>
      <c r="W74" s="35"/>
      <c r="X74" s="255"/>
      <c r="Y74" s="255"/>
      <c r="Z74" s="269"/>
      <c r="AA74" s="270"/>
      <c r="AB74" s="269"/>
      <c r="AC74" s="270"/>
      <c r="AD74" s="269"/>
      <c r="AE74" s="270"/>
      <c r="AF74" s="260"/>
      <c r="AG74" s="260"/>
      <c r="AH74" s="258"/>
      <c r="AI74" s="259"/>
      <c r="AJ74" s="260"/>
      <c r="AK74" s="260"/>
      <c r="AL74" s="279"/>
      <c r="AM74" s="280"/>
      <c r="AN74" s="260"/>
      <c r="AO74" s="260"/>
      <c r="AP74" s="311"/>
      <c r="AQ74" s="311"/>
      <c r="AR74" s="250"/>
      <c r="AS74" s="250"/>
      <c r="AT74" s="250"/>
      <c r="AU74" s="250"/>
      <c r="AZ74" s="278"/>
      <c r="BA74" s="278"/>
      <c r="BB74" s="278"/>
      <c r="BC74" s="278"/>
      <c r="BD74" s="278"/>
      <c r="BE74" s="278"/>
      <c r="BJ74" s="375"/>
      <c r="BK74" s="375"/>
      <c r="BL74" s="375"/>
      <c r="BM74" s="375"/>
      <c r="BN74" s="376"/>
      <c r="BO74" s="376"/>
      <c r="BP74" s="375"/>
      <c r="BQ74" s="375"/>
      <c r="BR74" s="375"/>
      <c r="BS74" s="375"/>
      <c r="BT74" s="377"/>
      <c r="BU74" s="377"/>
    </row>
    <row r="75" spans="1:73" ht="9" customHeight="1">
      <c r="A75" s="263">
        <f>AN75</f>
        <v>1</v>
      </c>
      <c r="B75" s="264" t="str">
        <f>'時間表'!U18</f>
        <v>エルマーノ大阪</v>
      </c>
      <c r="C75" s="265"/>
      <c r="D75" s="265"/>
      <c r="E75" s="265"/>
      <c r="F75" s="265"/>
      <c r="G75" s="266"/>
      <c r="H75" s="261" t="str">
        <f>IF(I75="","",IF(I75&gt;L75,"○",IF(I75&lt;L75,"●","△")))</f>
        <v>○</v>
      </c>
      <c r="I75" s="254">
        <f>X71</f>
        <v>6</v>
      </c>
      <c r="J75" s="254"/>
      <c r="K75" s="34"/>
      <c r="L75" s="254">
        <f>U71</f>
        <v>0</v>
      </c>
      <c r="M75" s="281"/>
      <c r="N75" s="261" t="str">
        <f>IF(O75="","",IF(O75&gt;R75,"○",IF(O75&lt;R75,"●","△")))</f>
        <v>○</v>
      </c>
      <c r="O75" s="254">
        <f>X73</f>
        <v>3</v>
      </c>
      <c r="P75" s="254"/>
      <c r="Q75" s="34"/>
      <c r="R75" s="254">
        <f>U73</f>
        <v>0</v>
      </c>
      <c r="S75" s="281"/>
      <c r="T75" s="251"/>
      <c r="U75" s="252"/>
      <c r="V75" s="252"/>
      <c r="W75" s="252"/>
      <c r="X75" s="252"/>
      <c r="Y75" s="253"/>
      <c r="Z75" s="267">
        <f>IF('時間表'!L35="","",COUNTIF($H75:$Y76,"○"))</f>
        <v>2</v>
      </c>
      <c r="AA75" s="268"/>
      <c r="AB75" s="267">
        <f>IF('時間表'!L35="","",COUNTIF($H75:$Y76,"△"))</f>
        <v>0</v>
      </c>
      <c r="AC75" s="268"/>
      <c r="AD75" s="267">
        <f>IF('時間表'!L35="","",COUNTIF($H75:$Y76,"●"))</f>
        <v>0</v>
      </c>
      <c r="AE75" s="268"/>
      <c r="AF75" s="260">
        <f>_xlfn.IFERROR(Z75*3+AB75,"")</f>
        <v>6</v>
      </c>
      <c r="AG75" s="260"/>
      <c r="AH75" s="256">
        <f>_xlfn.IFERROR(O75+I75,"")</f>
        <v>9</v>
      </c>
      <c r="AI75" s="257"/>
      <c r="AJ75" s="260">
        <f>_xlfn.IFERROR(R75+L75,"")</f>
        <v>0</v>
      </c>
      <c r="AK75" s="260"/>
      <c r="AL75" s="279">
        <f>_xlfn.IFERROR(AH75-AJ75,"")</f>
        <v>9</v>
      </c>
      <c r="AM75" s="280"/>
      <c r="AN75" s="260">
        <f>IF('時間表'!L35="","",RANK(AU75,$AU$71:$AU$76,1))</f>
        <v>1</v>
      </c>
      <c r="AO75" s="260"/>
      <c r="AP75" s="311">
        <f>_xlfn.IFERROR(AZ75,"")</f>
        <v>2</v>
      </c>
      <c r="AQ75" s="311"/>
      <c r="AR75" s="250">
        <f>_xlfn.IFERROR(100*RANK(AF75,AF71:AG76,0),"")</f>
        <v>100</v>
      </c>
      <c r="AS75" s="250">
        <f>_xlfn.IFERROR(10*RANK(AL75,AL71:AM76,0),"")</f>
        <v>20</v>
      </c>
      <c r="AT75" s="250">
        <f>_xlfn.IFERROR(RANK(AH75,AH71:AI76,0),"")</f>
        <v>2</v>
      </c>
      <c r="AU75" s="250">
        <f>_xlfn.IFERROR(SUM(AR75:AT76),"")</f>
        <v>122</v>
      </c>
      <c r="AZ75" s="278">
        <f>VLOOKUP(BA75,BT71:BU82,2,0)</f>
        <v>2</v>
      </c>
      <c r="BA75" s="278" t="str">
        <f>B75</f>
        <v>エルマーノ大阪</v>
      </c>
      <c r="BB75" s="278"/>
      <c r="BC75" s="278"/>
      <c r="BD75" s="278"/>
      <c r="BE75" s="278"/>
      <c r="BJ75" s="375" t="str">
        <f>U87</f>
        <v>ﾊﾟﾙﾃｨｰﾀﾞ生駒</v>
      </c>
      <c r="BK75" s="375"/>
      <c r="BL75" s="375"/>
      <c r="BM75" s="375"/>
      <c r="BN75" s="376" t="str">
        <f>IF(Z87&gt;Z90,"3",IF(Z87&lt;Z90,"4","0"))</f>
        <v>3</v>
      </c>
      <c r="BO75" s="376"/>
      <c r="BP75" s="375" t="str">
        <f>IF(AB87&gt;AB90,"3",IF(AB87&lt;AB90,"4","0"))</f>
        <v>0</v>
      </c>
      <c r="BQ75" s="375"/>
      <c r="BR75" s="375">
        <f>BN75+BP75</f>
        <v>3</v>
      </c>
      <c r="BS75" s="375"/>
      <c r="BT75" s="377" t="str">
        <f>BJ75</f>
        <v>ﾊﾟﾙﾃｨｰﾀﾞ生駒</v>
      </c>
      <c r="BU75" s="377">
        <f>BR75</f>
        <v>3</v>
      </c>
    </row>
    <row r="76" spans="1:73" ht="9" customHeight="1">
      <c r="A76" s="263"/>
      <c r="B76" s="264"/>
      <c r="C76" s="265"/>
      <c r="D76" s="265"/>
      <c r="E76" s="265"/>
      <c r="F76" s="265"/>
      <c r="G76" s="266"/>
      <c r="H76" s="262"/>
      <c r="I76" s="255"/>
      <c r="J76" s="255"/>
      <c r="K76" s="35"/>
      <c r="L76" s="255"/>
      <c r="M76" s="282"/>
      <c r="N76" s="262"/>
      <c r="O76" s="255"/>
      <c r="P76" s="255"/>
      <c r="Q76" s="35"/>
      <c r="R76" s="255"/>
      <c r="S76" s="282"/>
      <c r="T76" s="251"/>
      <c r="U76" s="252"/>
      <c r="V76" s="252"/>
      <c r="W76" s="252"/>
      <c r="X76" s="252"/>
      <c r="Y76" s="253"/>
      <c r="Z76" s="269"/>
      <c r="AA76" s="270"/>
      <c r="AB76" s="269"/>
      <c r="AC76" s="270"/>
      <c r="AD76" s="269"/>
      <c r="AE76" s="270"/>
      <c r="AF76" s="260"/>
      <c r="AG76" s="260"/>
      <c r="AH76" s="258"/>
      <c r="AI76" s="259"/>
      <c r="AJ76" s="260"/>
      <c r="AK76" s="260"/>
      <c r="AL76" s="279"/>
      <c r="AM76" s="280"/>
      <c r="AN76" s="260"/>
      <c r="AO76" s="260"/>
      <c r="AP76" s="311"/>
      <c r="AQ76" s="311"/>
      <c r="AR76" s="250"/>
      <c r="AS76" s="250"/>
      <c r="AT76" s="250"/>
      <c r="AU76" s="250"/>
      <c r="AZ76" s="278"/>
      <c r="BA76" s="278"/>
      <c r="BB76" s="278"/>
      <c r="BC76" s="278"/>
      <c r="BD76" s="278"/>
      <c r="BE76" s="278"/>
      <c r="BJ76" s="375"/>
      <c r="BK76" s="375"/>
      <c r="BL76" s="375"/>
      <c r="BM76" s="375"/>
      <c r="BN76" s="376"/>
      <c r="BO76" s="376"/>
      <c r="BP76" s="375"/>
      <c r="BQ76" s="375"/>
      <c r="BR76" s="375"/>
      <c r="BS76" s="375"/>
      <c r="BT76" s="377"/>
      <c r="BU76" s="377"/>
    </row>
    <row r="77" spans="2:73" ht="9" customHeight="1">
      <c r="B77" s="39"/>
      <c r="C77" s="39"/>
      <c r="D77" s="39"/>
      <c r="E77" s="39"/>
      <c r="F77" s="39"/>
      <c r="G77" s="39"/>
      <c r="H77" s="39"/>
      <c r="I77" s="39"/>
      <c r="J77" s="41"/>
      <c r="K77" s="39"/>
      <c r="L77" s="39"/>
      <c r="M77" s="39"/>
      <c r="N77" s="39"/>
      <c r="O77" s="39"/>
      <c r="P77" s="41"/>
      <c r="Q77" s="39"/>
      <c r="R77" s="39"/>
      <c r="S77" s="39"/>
      <c r="T77" s="39"/>
      <c r="U77" s="39"/>
      <c r="V77" s="41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55"/>
      <c r="AI77" s="55"/>
      <c r="AJ77" s="55"/>
      <c r="AK77" s="55"/>
      <c r="AL77" s="39"/>
      <c r="AM77" s="39"/>
      <c r="AN77" s="39"/>
      <c r="AO77" s="39"/>
      <c r="AR77" s="56"/>
      <c r="AS77" s="56"/>
      <c r="AT77" s="56"/>
      <c r="AU77" s="56"/>
      <c r="AZ77" s="278">
        <f>VLOOKUP(BA77,BT71:BU82,2,0)</f>
        <v>1</v>
      </c>
      <c r="BA77" s="278" t="str">
        <f>B80</f>
        <v>Del Sole Shiki</v>
      </c>
      <c r="BB77" s="278"/>
      <c r="BC77" s="278"/>
      <c r="BD77" s="278"/>
      <c r="BE77" s="278"/>
      <c r="BJ77" s="375" t="str">
        <f>U90</f>
        <v>蔵　持</v>
      </c>
      <c r="BK77" s="375"/>
      <c r="BL77" s="375"/>
      <c r="BM77" s="375"/>
      <c r="BN77" s="376" t="str">
        <f>IF(Z87&gt;Z90,"4",IF(Z87&lt;Z90,"3","0"))</f>
        <v>4</v>
      </c>
      <c r="BO77" s="376"/>
      <c r="BP77" s="375" t="str">
        <f>IF(AB87&gt;AB90,"4",IF(AB87&lt;AB90,"3","0"))</f>
        <v>0</v>
      </c>
      <c r="BQ77" s="375"/>
      <c r="BR77" s="375">
        <f>BN77+BP77</f>
        <v>4</v>
      </c>
      <c r="BS77" s="375"/>
      <c r="BT77" s="377" t="str">
        <f>BJ77</f>
        <v>蔵　持</v>
      </c>
      <c r="BU77" s="377">
        <f>BR77</f>
        <v>4</v>
      </c>
    </row>
    <row r="78" spans="2:73" ht="9" customHeight="1">
      <c r="B78" s="383" t="str">
        <f>B69</f>
        <v>F</v>
      </c>
      <c r="C78" s="384"/>
      <c r="D78" s="387" t="s">
        <v>80</v>
      </c>
      <c r="E78" s="387"/>
      <c r="F78" s="387"/>
      <c r="G78" s="399"/>
      <c r="H78" s="278" t="str">
        <f>B80</f>
        <v>Del Sole Shiki</v>
      </c>
      <c r="I78" s="278"/>
      <c r="J78" s="278"/>
      <c r="K78" s="278"/>
      <c r="L78" s="278"/>
      <c r="M78" s="278"/>
      <c r="N78" s="278" t="str">
        <f>B82</f>
        <v>奈良伏見</v>
      </c>
      <c r="O78" s="278"/>
      <c r="P78" s="278"/>
      <c r="Q78" s="278"/>
      <c r="R78" s="278"/>
      <c r="S78" s="278"/>
      <c r="T78" s="278" t="str">
        <f>B84</f>
        <v>蔵　持</v>
      </c>
      <c r="U78" s="278"/>
      <c r="V78" s="278"/>
      <c r="W78" s="278"/>
      <c r="X78" s="278"/>
      <c r="Y78" s="278"/>
      <c r="Z78" s="271" t="s">
        <v>62</v>
      </c>
      <c r="AA78" s="271"/>
      <c r="AB78" s="271" t="s">
        <v>63</v>
      </c>
      <c r="AC78" s="271"/>
      <c r="AD78" s="271" t="s">
        <v>64</v>
      </c>
      <c r="AE78" s="271"/>
      <c r="AF78" s="271" t="s">
        <v>67</v>
      </c>
      <c r="AG78" s="271"/>
      <c r="AH78" s="271" t="s">
        <v>65</v>
      </c>
      <c r="AI78" s="271"/>
      <c r="AJ78" s="278" t="s">
        <v>69</v>
      </c>
      <c r="AK78" s="278"/>
      <c r="AL78" s="271" t="s">
        <v>66</v>
      </c>
      <c r="AM78" s="271"/>
      <c r="AN78" s="271" t="s">
        <v>68</v>
      </c>
      <c r="AO78" s="271"/>
      <c r="AP78" s="291" t="s">
        <v>83</v>
      </c>
      <c r="AQ78" s="292"/>
      <c r="AR78" s="310" t="s">
        <v>57</v>
      </c>
      <c r="AS78" s="310" t="s">
        <v>59</v>
      </c>
      <c r="AT78" s="310" t="s">
        <v>58</v>
      </c>
      <c r="AU78" s="310" t="s">
        <v>60</v>
      </c>
      <c r="AZ78" s="278"/>
      <c r="BA78" s="278"/>
      <c r="BB78" s="278"/>
      <c r="BC78" s="278"/>
      <c r="BD78" s="278"/>
      <c r="BE78" s="278"/>
      <c r="BJ78" s="375"/>
      <c r="BK78" s="375"/>
      <c r="BL78" s="375"/>
      <c r="BM78" s="375"/>
      <c r="BN78" s="376"/>
      <c r="BO78" s="376"/>
      <c r="BP78" s="375"/>
      <c r="BQ78" s="375"/>
      <c r="BR78" s="375"/>
      <c r="BS78" s="375"/>
      <c r="BT78" s="377"/>
      <c r="BU78" s="377"/>
    </row>
    <row r="79" spans="2:73" ht="9" customHeight="1">
      <c r="B79" s="385"/>
      <c r="C79" s="386"/>
      <c r="D79" s="390"/>
      <c r="E79" s="390"/>
      <c r="F79" s="390"/>
      <c r="G79" s="391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2"/>
      <c r="AA79" s="272"/>
      <c r="AB79" s="272"/>
      <c r="AC79" s="272"/>
      <c r="AD79" s="272"/>
      <c r="AE79" s="272"/>
      <c r="AF79" s="277"/>
      <c r="AG79" s="277"/>
      <c r="AH79" s="272"/>
      <c r="AI79" s="272"/>
      <c r="AJ79" s="278"/>
      <c r="AK79" s="278"/>
      <c r="AL79" s="272"/>
      <c r="AM79" s="272"/>
      <c r="AN79" s="277"/>
      <c r="AO79" s="277"/>
      <c r="AP79" s="293"/>
      <c r="AQ79" s="294"/>
      <c r="AR79" s="310"/>
      <c r="AS79" s="310"/>
      <c r="AT79" s="310"/>
      <c r="AU79" s="310"/>
      <c r="AZ79" s="278">
        <f>VLOOKUP(BA79,BT71:BU82,2,0)</f>
        <v>5</v>
      </c>
      <c r="BA79" s="278" t="str">
        <f>B82</f>
        <v>奈良伏見</v>
      </c>
      <c r="BB79" s="278"/>
      <c r="BC79" s="278"/>
      <c r="BD79" s="278"/>
      <c r="BE79" s="278"/>
      <c r="BJ79" s="375" t="str">
        <f>AI87</f>
        <v>明　治</v>
      </c>
      <c r="BK79" s="375"/>
      <c r="BL79" s="375"/>
      <c r="BM79" s="375"/>
      <c r="BN79" s="376" t="str">
        <f>IF(AN87&gt;AN90,"5",IF(AN87&lt;AN90,"6","0"))</f>
        <v>6</v>
      </c>
      <c r="BO79" s="376"/>
      <c r="BP79" s="375" t="str">
        <f>IF(AP87&gt;AP90,"5",IF(AP87&lt;AP90,"6","0"))</f>
        <v>0</v>
      </c>
      <c r="BQ79" s="375"/>
      <c r="BR79" s="375">
        <f>BN79+BP79</f>
        <v>6</v>
      </c>
      <c r="BS79" s="375"/>
      <c r="BT79" s="377" t="str">
        <f>BJ79</f>
        <v>明　治</v>
      </c>
      <c r="BU79" s="377">
        <f>BR79</f>
        <v>6</v>
      </c>
    </row>
    <row r="80" spans="1:73" ht="9" customHeight="1">
      <c r="A80" s="263">
        <f>AN80</f>
        <v>1</v>
      </c>
      <c r="B80" s="264" t="str">
        <f>'時間表'!U19</f>
        <v>Del Sole Shiki</v>
      </c>
      <c r="C80" s="265"/>
      <c r="D80" s="265"/>
      <c r="E80" s="265"/>
      <c r="F80" s="265"/>
      <c r="G80" s="266"/>
      <c r="H80" s="273"/>
      <c r="I80" s="273"/>
      <c r="J80" s="273"/>
      <c r="K80" s="273"/>
      <c r="L80" s="273"/>
      <c r="M80" s="274"/>
      <c r="N80" s="49" t="str">
        <f>IF(O80="","",IF(O80&gt;R80,"○",IF(O80&lt;R80,"●","△")))</f>
        <v>○</v>
      </c>
      <c r="O80" s="254">
        <f>IF('時間表'!J34="","",'時間表'!J34)</f>
        <v>6</v>
      </c>
      <c r="P80" s="254"/>
      <c r="Q80" s="34"/>
      <c r="R80" s="254">
        <f>IF('時間表'!L34="","",'時間表'!L34)</f>
        <v>0</v>
      </c>
      <c r="S80" s="254"/>
      <c r="T80" s="261" t="str">
        <f>IF(U80="","",IF(U80&gt;X80,"○",IF(U80&lt;X80,"●","△")))</f>
        <v>△</v>
      </c>
      <c r="U80" s="254">
        <f>IF('時間表'!J36="","",'時間表'!J36)</f>
        <v>0</v>
      </c>
      <c r="V80" s="254"/>
      <c r="W80" s="34"/>
      <c r="X80" s="254">
        <f>IF('時間表'!L36="","",'時間表'!L36)</f>
        <v>0</v>
      </c>
      <c r="Y80" s="254"/>
      <c r="Z80" s="267">
        <f>IF('時間表'!J34="","",COUNTIF($H80:$Y81,"○"))</f>
        <v>1</v>
      </c>
      <c r="AA80" s="268"/>
      <c r="AB80" s="267">
        <f>IF('時間表'!J34="","",COUNTIF($H80:$Y81,"△"))</f>
        <v>1</v>
      </c>
      <c r="AC80" s="268"/>
      <c r="AD80" s="267">
        <f>IF('時間表'!J34="","",COUNTIF($H80:$Y81,"●"))</f>
        <v>0</v>
      </c>
      <c r="AE80" s="268"/>
      <c r="AF80" s="260">
        <f>_xlfn.IFERROR(Z80*3+AB80,"")</f>
        <v>4</v>
      </c>
      <c r="AG80" s="260"/>
      <c r="AH80" s="256">
        <f>_xlfn.IFERROR(O80+U80,"")</f>
        <v>6</v>
      </c>
      <c r="AI80" s="257"/>
      <c r="AJ80" s="260">
        <f>_xlfn.IFERROR(R80+X80,"")</f>
        <v>0</v>
      </c>
      <c r="AK80" s="260"/>
      <c r="AL80" s="279">
        <f>_xlfn.IFERROR(AH80-AJ80,"")</f>
        <v>6</v>
      </c>
      <c r="AM80" s="280"/>
      <c r="AN80" s="260">
        <f>IF('時間表'!J34="","",RANK(AU80,$AU$80:$AU$85,1))</f>
        <v>1</v>
      </c>
      <c r="AO80" s="260"/>
      <c r="AP80" s="311">
        <f>_xlfn.IFERROR(AZ77,"")</f>
        <v>1</v>
      </c>
      <c r="AQ80" s="311"/>
      <c r="AR80" s="250">
        <f>_xlfn.IFERROR(100*RANK(AF80,AF80:AG85,0),"")</f>
        <v>100</v>
      </c>
      <c r="AS80" s="250">
        <f>_xlfn.IFERROR(10*RANK(AL80,AL80:AM85,0),"")</f>
        <v>10</v>
      </c>
      <c r="AT80" s="250">
        <f>_xlfn.IFERROR(RANK(AH80,AH80:AI85,0),"")</f>
        <v>1</v>
      </c>
      <c r="AU80" s="250">
        <f>_xlfn.IFERROR(SUM(AR80:AT81),"")</f>
        <v>111</v>
      </c>
      <c r="AZ80" s="278"/>
      <c r="BA80" s="278"/>
      <c r="BB80" s="278"/>
      <c r="BC80" s="278"/>
      <c r="BD80" s="278"/>
      <c r="BE80" s="278"/>
      <c r="BJ80" s="375"/>
      <c r="BK80" s="375"/>
      <c r="BL80" s="375"/>
      <c r="BM80" s="375"/>
      <c r="BN80" s="376"/>
      <c r="BO80" s="376"/>
      <c r="BP80" s="375"/>
      <c r="BQ80" s="375"/>
      <c r="BR80" s="375"/>
      <c r="BS80" s="375"/>
      <c r="BT80" s="377"/>
      <c r="BU80" s="377"/>
    </row>
    <row r="81" spans="1:73" ht="9" customHeight="1">
      <c r="A81" s="263"/>
      <c r="B81" s="264"/>
      <c r="C81" s="265"/>
      <c r="D81" s="265"/>
      <c r="E81" s="265"/>
      <c r="F81" s="265"/>
      <c r="G81" s="266"/>
      <c r="H81" s="275"/>
      <c r="I81" s="275"/>
      <c r="J81" s="275"/>
      <c r="K81" s="275"/>
      <c r="L81" s="275"/>
      <c r="M81" s="276"/>
      <c r="N81" s="36"/>
      <c r="O81" s="255"/>
      <c r="P81" s="255"/>
      <c r="Q81" s="35"/>
      <c r="R81" s="255"/>
      <c r="S81" s="255"/>
      <c r="T81" s="262"/>
      <c r="U81" s="255"/>
      <c r="V81" s="255"/>
      <c r="W81" s="35"/>
      <c r="X81" s="255"/>
      <c r="Y81" s="255"/>
      <c r="Z81" s="269"/>
      <c r="AA81" s="270"/>
      <c r="AB81" s="269"/>
      <c r="AC81" s="270"/>
      <c r="AD81" s="269"/>
      <c r="AE81" s="270"/>
      <c r="AF81" s="260"/>
      <c r="AG81" s="260"/>
      <c r="AH81" s="258"/>
      <c r="AI81" s="259"/>
      <c r="AJ81" s="260"/>
      <c r="AK81" s="260"/>
      <c r="AL81" s="279"/>
      <c r="AM81" s="280"/>
      <c r="AN81" s="260"/>
      <c r="AO81" s="260"/>
      <c r="AP81" s="311"/>
      <c r="AQ81" s="311"/>
      <c r="AR81" s="250"/>
      <c r="AS81" s="250"/>
      <c r="AT81" s="250"/>
      <c r="AU81" s="250"/>
      <c r="AZ81" s="278">
        <f>VLOOKUP(BA81,BT71:BU82,2,0)</f>
        <v>4</v>
      </c>
      <c r="BA81" s="278" t="str">
        <f>B84</f>
        <v>蔵　持</v>
      </c>
      <c r="BB81" s="278"/>
      <c r="BC81" s="278"/>
      <c r="BD81" s="278"/>
      <c r="BE81" s="278"/>
      <c r="BJ81" s="375" t="str">
        <f>AI90</f>
        <v>奈良伏見</v>
      </c>
      <c r="BK81" s="375"/>
      <c r="BL81" s="375"/>
      <c r="BM81" s="375"/>
      <c r="BN81" s="376" t="str">
        <f>IF(AN87&gt;AN90,"6",IF(AN87&lt;AN90,"5","0"))</f>
        <v>5</v>
      </c>
      <c r="BO81" s="376"/>
      <c r="BP81" s="375" t="str">
        <f>IF(AP87&gt;AP90,"6",IF(AP87&lt;AP90,"5","0"))</f>
        <v>0</v>
      </c>
      <c r="BQ81" s="375"/>
      <c r="BR81" s="375">
        <f>BN81+BP81</f>
        <v>5</v>
      </c>
      <c r="BS81" s="375"/>
      <c r="BT81" s="377" t="str">
        <f>BJ81</f>
        <v>奈良伏見</v>
      </c>
      <c r="BU81" s="377">
        <f>BR81</f>
        <v>5</v>
      </c>
    </row>
    <row r="82" spans="1:73" ht="9" customHeight="1">
      <c r="A82" s="263">
        <f>AN82</f>
        <v>3</v>
      </c>
      <c r="B82" s="264" t="str">
        <f>'時間表'!U20</f>
        <v>奈良伏見</v>
      </c>
      <c r="C82" s="265"/>
      <c r="D82" s="265"/>
      <c r="E82" s="265"/>
      <c r="F82" s="265"/>
      <c r="G82" s="266"/>
      <c r="H82" s="261" t="str">
        <f>IF(I82="","",IF(I82&gt;L82,"○",IF(I82&lt;L82,"●","△")))</f>
        <v>●</v>
      </c>
      <c r="I82" s="254">
        <f>R80</f>
        <v>0</v>
      </c>
      <c r="J82" s="254"/>
      <c r="K82" s="34"/>
      <c r="L82" s="254">
        <f>O80</f>
        <v>6</v>
      </c>
      <c r="M82" s="281"/>
      <c r="N82" s="251"/>
      <c r="O82" s="252"/>
      <c r="P82" s="252"/>
      <c r="Q82" s="252"/>
      <c r="R82" s="252"/>
      <c r="S82" s="252"/>
      <c r="T82" s="261" t="str">
        <f>IF(U82="","",IF(U82&gt;X82,"○",IF(U82&lt;X82,"●","△")))</f>
        <v>●</v>
      </c>
      <c r="U82" s="254">
        <f>IF('時間表'!J38="","",'時間表'!J38)</f>
        <v>1</v>
      </c>
      <c r="V82" s="254"/>
      <c r="W82" s="34"/>
      <c r="X82" s="254">
        <f>IF('時間表'!L38="","",'時間表'!L38)</f>
        <v>3</v>
      </c>
      <c r="Y82" s="254"/>
      <c r="Z82" s="267">
        <f>IF('時間表'!L34="","",COUNTIF($H82:$Y83,"○"))</f>
        <v>0</v>
      </c>
      <c r="AA82" s="268"/>
      <c r="AB82" s="267">
        <f>IF('時間表'!L34="","",COUNTIF($H82:$Y83,"△"))</f>
        <v>0</v>
      </c>
      <c r="AC82" s="268"/>
      <c r="AD82" s="267">
        <f>IF('時間表'!L34="","",COUNTIF($H82:$Y83,"●"))</f>
        <v>2</v>
      </c>
      <c r="AE82" s="268"/>
      <c r="AF82" s="260">
        <f>_xlfn.IFERROR(Z82*3+AB82,"")</f>
        <v>0</v>
      </c>
      <c r="AG82" s="260"/>
      <c r="AH82" s="256">
        <f>_xlfn.IFERROR(I82+U82,"")</f>
        <v>1</v>
      </c>
      <c r="AI82" s="257"/>
      <c r="AJ82" s="260">
        <f>_xlfn.IFERROR(L82+X82,"")</f>
        <v>9</v>
      </c>
      <c r="AK82" s="260"/>
      <c r="AL82" s="279">
        <f>_xlfn.IFERROR(AH82-AJ82,"")</f>
        <v>-8</v>
      </c>
      <c r="AM82" s="280"/>
      <c r="AN82" s="260">
        <f>IF('時間表'!L34="","",RANK(AU82,$AU$80:$AU$85,1))</f>
        <v>3</v>
      </c>
      <c r="AO82" s="260"/>
      <c r="AP82" s="311">
        <f>_xlfn.IFERROR(AZ79,"")</f>
        <v>5</v>
      </c>
      <c r="AQ82" s="311"/>
      <c r="AR82" s="250">
        <f>_xlfn.IFERROR(100*RANK(AF82,AF80:AG85,0),"")</f>
        <v>300</v>
      </c>
      <c r="AS82" s="250">
        <f>_xlfn.IFERROR(10*RANK(AL82,AL80:AM85,0),"")</f>
        <v>30</v>
      </c>
      <c r="AT82" s="250">
        <f>_xlfn.IFERROR(RANK(AH82,AH80:AI85,0),"")</f>
        <v>3</v>
      </c>
      <c r="AU82" s="250">
        <f>_xlfn.IFERROR(SUM(AR82:AT83),"")</f>
        <v>333</v>
      </c>
      <c r="AZ82" s="278"/>
      <c r="BA82" s="278"/>
      <c r="BB82" s="278"/>
      <c r="BC82" s="278"/>
      <c r="BD82" s="278"/>
      <c r="BE82" s="278"/>
      <c r="BJ82" s="375"/>
      <c r="BK82" s="375"/>
      <c r="BL82" s="375"/>
      <c r="BM82" s="375"/>
      <c r="BN82" s="376"/>
      <c r="BO82" s="376"/>
      <c r="BP82" s="375"/>
      <c r="BQ82" s="375"/>
      <c r="BR82" s="375"/>
      <c r="BS82" s="375"/>
      <c r="BT82" s="377"/>
      <c r="BU82" s="377"/>
    </row>
    <row r="83" spans="1:47" ht="9" customHeight="1">
      <c r="A83" s="263"/>
      <c r="B83" s="264"/>
      <c r="C83" s="265"/>
      <c r="D83" s="265"/>
      <c r="E83" s="265"/>
      <c r="F83" s="265"/>
      <c r="G83" s="266"/>
      <c r="H83" s="262"/>
      <c r="I83" s="255"/>
      <c r="J83" s="255"/>
      <c r="K83" s="35"/>
      <c r="L83" s="255"/>
      <c r="M83" s="282"/>
      <c r="N83" s="251"/>
      <c r="O83" s="252"/>
      <c r="P83" s="252"/>
      <c r="Q83" s="252"/>
      <c r="R83" s="252"/>
      <c r="S83" s="252"/>
      <c r="T83" s="262"/>
      <c r="U83" s="255"/>
      <c r="V83" s="255"/>
      <c r="W83" s="35"/>
      <c r="X83" s="255"/>
      <c r="Y83" s="255"/>
      <c r="Z83" s="269"/>
      <c r="AA83" s="270"/>
      <c r="AB83" s="269"/>
      <c r="AC83" s="270"/>
      <c r="AD83" s="269"/>
      <c r="AE83" s="270"/>
      <c r="AF83" s="260"/>
      <c r="AG83" s="260"/>
      <c r="AH83" s="258"/>
      <c r="AI83" s="259"/>
      <c r="AJ83" s="260"/>
      <c r="AK83" s="260"/>
      <c r="AL83" s="279"/>
      <c r="AM83" s="280"/>
      <c r="AN83" s="260"/>
      <c r="AO83" s="260"/>
      <c r="AP83" s="311"/>
      <c r="AQ83" s="311"/>
      <c r="AR83" s="250"/>
      <c r="AS83" s="250"/>
      <c r="AT83" s="250"/>
      <c r="AU83" s="250"/>
    </row>
    <row r="84" spans="1:47" ht="9" customHeight="1">
      <c r="A84" s="263">
        <f>AN84</f>
        <v>2</v>
      </c>
      <c r="B84" s="264" t="str">
        <f>'時間表'!U21</f>
        <v>蔵　持</v>
      </c>
      <c r="C84" s="265"/>
      <c r="D84" s="265"/>
      <c r="E84" s="265"/>
      <c r="F84" s="265"/>
      <c r="G84" s="266"/>
      <c r="H84" s="261" t="str">
        <f>IF(I84="","",IF(I84&gt;L84,"○",IF(I84&lt;L84,"●","△")))</f>
        <v>△</v>
      </c>
      <c r="I84" s="254">
        <f>X80</f>
        <v>0</v>
      </c>
      <c r="J84" s="254"/>
      <c r="K84" s="34"/>
      <c r="L84" s="254">
        <f>U80</f>
        <v>0</v>
      </c>
      <c r="M84" s="281"/>
      <c r="N84" s="261" t="str">
        <f>IF(O84="","",IF(O84&gt;R84,"○",IF(O84&lt;R84,"●","△")))</f>
        <v>○</v>
      </c>
      <c r="O84" s="254">
        <f>X82</f>
        <v>3</v>
      </c>
      <c r="P84" s="254"/>
      <c r="Q84" s="34"/>
      <c r="R84" s="254">
        <f>U82</f>
        <v>1</v>
      </c>
      <c r="S84" s="281"/>
      <c r="T84" s="251"/>
      <c r="U84" s="252"/>
      <c r="V84" s="252"/>
      <c r="W84" s="252"/>
      <c r="X84" s="252"/>
      <c r="Y84" s="253"/>
      <c r="Z84" s="267">
        <f>IF('時間表'!L36="","",COUNTIF($H84:$Y85,"○"))</f>
        <v>1</v>
      </c>
      <c r="AA84" s="268"/>
      <c r="AB84" s="267">
        <f>IF('時間表'!L36="","",COUNTIF($H84:$Y85,"△"))</f>
        <v>1</v>
      </c>
      <c r="AC84" s="268"/>
      <c r="AD84" s="267">
        <f>IF('時間表'!L36="","",COUNTIF($H84:$Y85,"●"))</f>
        <v>0</v>
      </c>
      <c r="AE84" s="268"/>
      <c r="AF84" s="260">
        <f>_xlfn.IFERROR(Z84*3+AB84,"")</f>
        <v>4</v>
      </c>
      <c r="AG84" s="260"/>
      <c r="AH84" s="256">
        <f>_xlfn.IFERROR(O84+I84,"")</f>
        <v>3</v>
      </c>
      <c r="AI84" s="257"/>
      <c r="AJ84" s="260">
        <f>_xlfn.IFERROR(R84+L84,"")</f>
        <v>1</v>
      </c>
      <c r="AK84" s="260"/>
      <c r="AL84" s="279">
        <f>_xlfn.IFERROR(AH84-AJ84,"")</f>
        <v>2</v>
      </c>
      <c r="AM84" s="280"/>
      <c r="AN84" s="260">
        <f>IF('時間表'!L36="","",RANK(AU84,$AU$80:$AU$85,1))</f>
        <v>2</v>
      </c>
      <c r="AO84" s="260"/>
      <c r="AP84" s="311">
        <f>_xlfn.IFERROR(AZ81,"")</f>
        <v>4</v>
      </c>
      <c r="AQ84" s="311"/>
      <c r="AR84" s="250">
        <f>_xlfn.IFERROR(100*RANK(AF84,AF80:AG85,0),"")</f>
        <v>100</v>
      </c>
      <c r="AS84" s="250">
        <f>_xlfn.IFERROR(10*RANK(AL84,AL80:AM85,0),"")</f>
        <v>20</v>
      </c>
      <c r="AT84" s="250">
        <f>_xlfn.IFERROR(RANK(AH84,AH80:AI85,0),"")</f>
        <v>2</v>
      </c>
      <c r="AU84" s="250">
        <f>_xlfn.IFERROR(SUM(AR84:AT85),"")</f>
        <v>122</v>
      </c>
    </row>
    <row r="85" spans="1:47" ht="9" customHeight="1">
      <c r="A85" s="263"/>
      <c r="B85" s="264"/>
      <c r="C85" s="265"/>
      <c r="D85" s="265"/>
      <c r="E85" s="265"/>
      <c r="F85" s="265"/>
      <c r="G85" s="266"/>
      <c r="H85" s="262"/>
      <c r="I85" s="255"/>
      <c r="J85" s="255"/>
      <c r="K85" s="35"/>
      <c r="L85" s="255"/>
      <c r="M85" s="282"/>
      <c r="N85" s="262"/>
      <c r="O85" s="255"/>
      <c r="P85" s="255"/>
      <c r="Q85" s="35"/>
      <c r="R85" s="255"/>
      <c r="S85" s="282"/>
      <c r="T85" s="251"/>
      <c r="U85" s="252"/>
      <c r="V85" s="252"/>
      <c r="W85" s="252"/>
      <c r="X85" s="252"/>
      <c r="Y85" s="253"/>
      <c r="Z85" s="269"/>
      <c r="AA85" s="270"/>
      <c r="AB85" s="269"/>
      <c r="AC85" s="270"/>
      <c r="AD85" s="269"/>
      <c r="AE85" s="270"/>
      <c r="AF85" s="260"/>
      <c r="AG85" s="260"/>
      <c r="AH85" s="258"/>
      <c r="AI85" s="259"/>
      <c r="AJ85" s="260"/>
      <c r="AK85" s="260"/>
      <c r="AL85" s="279"/>
      <c r="AM85" s="280"/>
      <c r="AN85" s="260"/>
      <c r="AO85" s="260"/>
      <c r="AP85" s="311"/>
      <c r="AQ85" s="311"/>
      <c r="AR85" s="250"/>
      <c r="AS85" s="250"/>
      <c r="AT85" s="250"/>
      <c r="AU85" s="250"/>
    </row>
    <row r="86" spans="1:47" ht="9" customHeight="1">
      <c r="A86" s="40"/>
      <c r="B86" s="39"/>
      <c r="C86" s="39"/>
      <c r="D86" s="39"/>
      <c r="E86" s="39"/>
      <c r="F86" s="39"/>
      <c r="G86" s="39"/>
      <c r="H86" s="41"/>
      <c r="I86" s="39"/>
      <c r="J86" s="41"/>
      <c r="K86" s="41"/>
      <c r="L86" s="39"/>
      <c r="M86" s="39"/>
      <c r="N86" s="41"/>
      <c r="O86" s="39"/>
      <c r="P86" s="39"/>
      <c r="Q86" s="41"/>
      <c r="R86" s="39"/>
      <c r="S86" s="39"/>
      <c r="T86" s="39"/>
      <c r="U86" s="39"/>
      <c r="V86" s="39"/>
      <c r="W86" s="39"/>
      <c r="X86" s="39"/>
      <c r="Y86" s="39"/>
      <c r="Z86" s="45"/>
      <c r="AA86" s="45"/>
      <c r="AB86" s="45"/>
      <c r="AC86" s="45"/>
      <c r="AD86" s="45"/>
      <c r="AE86" s="45"/>
      <c r="AF86" s="39"/>
      <c r="AG86" s="39"/>
      <c r="AH86" s="57"/>
      <c r="AI86" s="57"/>
      <c r="AJ86" s="39"/>
      <c r="AK86" s="39"/>
      <c r="AL86" s="57"/>
      <c r="AM86" s="57"/>
      <c r="AN86" s="58"/>
      <c r="AO86" s="58"/>
      <c r="AR86" s="45"/>
      <c r="AS86" s="45"/>
      <c r="AT86" s="45"/>
      <c r="AU86" s="45"/>
    </row>
    <row r="87" spans="1:43" ht="9" customHeight="1">
      <c r="A87" s="40"/>
      <c r="B87" s="301" t="s">
        <v>81</v>
      </c>
      <c r="C87" s="301"/>
      <c r="D87" s="301"/>
      <c r="E87" s="301"/>
      <c r="F87" s="319">
        <v>1</v>
      </c>
      <c r="G87" s="295" t="str">
        <f>IF('時間表'!L37="","",VLOOKUP(F87,FⅠ,2,0))</f>
        <v>エルマーノ大阪</v>
      </c>
      <c r="H87" s="295"/>
      <c r="I87" s="295"/>
      <c r="J87" s="295"/>
      <c r="K87" s="295"/>
      <c r="L87" s="373">
        <f>IF('時間表'!J43="","",'時間表'!J43)</f>
        <v>0</v>
      </c>
      <c r="M87" s="373"/>
      <c r="N87" s="356">
        <f>IF('時間表'!J44="","",'時間表'!J44)</f>
      </c>
      <c r="O87" s="357"/>
      <c r="P87" s="300" t="s">
        <v>84</v>
      </c>
      <c r="Q87" s="301"/>
      <c r="R87" s="301"/>
      <c r="S87" s="301"/>
      <c r="T87" s="319">
        <v>2</v>
      </c>
      <c r="U87" s="297" t="str">
        <f>_xlfn.IFERROR(VLOOKUP(T87,FⅠ,2,0),"")</f>
        <v>ﾊﾟﾙﾃｨｰﾀﾞ生駒</v>
      </c>
      <c r="V87" s="297"/>
      <c r="W87" s="297"/>
      <c r="X87" s="297"/>
      <c r="Y87" s="297"/>
      <c r="Z87" s="373">
        <f>IF('時間表'!J41="","",'時間表'!J41)</f>
        <v>3</v>
      </c>
      <c r="AA87" s="373"/>
      <c r="AB87" s="356">
        <f>IF('時間表'!J42="","",'時間表'!J42)</f>
      </c>
      <c r="AC87" s="357"/>
      <c r="AD87" s="300" t="s">
        <v>86</v>
      </c>
      <c r="AE87" s="301"/>
      <c r="AF87" s="301"/>
      <c r="AG87" s="301"/>
      <c r="AH87" s="319">
        <v>3</v>
      </c>
      <c r="AI87" s="297" t="str">
        <f>_xlfn.IFERROR(VLOOKUP(AH87,FⅠ,2,0),"")</f>
        <v>明　治</v>
      </c>
      <c r="AJ87" s="297"/>
      <c r="AK87" s="297"/>
      <c r="AL87" s="297"/>
      <c r="AM87" s="297"/>
      <c r="AN87" s="373">
        <f>IF('時間表'!J39="","",'時間表'!J39)</f>
        <v>2</v>
      </c>
      <c r="AO87" s="373"/>
      <c r="AP87" s="356">
        <f>IF('時間表'!J40="","",'時間表'!J40)</f>
      </c>
      <c r="AQ87" s="357"/>
    </row>
    <row r="88" spans="1:43" ht="9" customHeight="1" thickBot="1">
      <c r="A88" s="40"/>
      <c r="B88" s="301"/>
      <c r="C88" s="301"/>
      <c r="D88" s="301"/>
      <c r="E88" s="301"/>
      <c r="F88" s="320"/>
      <c r="G88" s="296"/>
      <c r="H88" s="296"/>
      <c r="I88" s="296"/>
      <c r="J88" s="296"/>
      <c r="K88" s="296"/>
      <c r="L88" s="373"/>
      <c r="M88" s="373"/>
      <c r="N88" s="358"/>
      <c r="O88" s="359"/>
      <c r="P88" s="300"/>
      <c r="Q88" s="301"/>
      <c r="R88" s="301"/>
      <c r="S88" s="301"/>
      <c r="T88" s="320"/>
      <c r="U88" s="298"/>
      <c r="V88" s="298"/>
      <c r="W88" s="298"/>
      <c r="X88" s="298"/>
      <c r="Y88" s="298"/>
      <c r="Z88" s="373"/>
      <c r="AA88" s="373"/>
      <c r="AB88" s="358"/>
      <c r="AC88" s="359"/>
      <c r="AD88" s="300"/>
      <c r="AE88" s="301"/>
      <c r="AF88" s="301"/>
      <c r="AG88" s="301"/>
      <c r="AH88" s="320"/>
      <c r="AI88" s="298"/>
      <c r="AJ88" s="298"/>
      <c r="AK88" s="298"/>
      <c r="AL88" s="298"/>
      <c r="AM88" s="298"/>
      <c r="AN88" s="373"/>
      <c r="AO88" s="373"/>
      <c r="AP88" s="358"/>
      <c r="AQ88" s="359"/>
    </row>
    <row r="89" spans="1:43" ht="9" customHeight="1">
      <c r="A89" s="40"/>
      <c r="B89" s="46"/>
      <c r="C89" s="127"/>
      <c r="D89" s="46"/>
      <c r="E89" s="39"/>
      <c r="F89" s="39"/>
      <c r="G89" s="39"/>
      <c r="H89" s="40"/>
      <c r="I89" s="39"/>
      <c r="J89" s="41"/>
      <c r="K89" s="37"/>
      <c r="L89" s="39"/>
      <c r="M89" s="124"/>
      <c r="N89" s="400" t="s">
        <v>123</v>
      </c>
      <c r="O89" s="400"/>
      <c r="P89" s="46"/>
      <c r="Q89" s="127"/>
      <c r="R89" s="46"/>
      <c r="S89" s="39"/>
      <c r="T89" s="39"/>
      <c r="U89" s="39"/>
      <c r="V89" s="39"/>
      <c r="W89" s="39"/>
      <c r="X89" s="41"/>
      <c r="Y89" s="37"/>
      <c r="Z89" s="39"/>
      <c r="AA89" s="124"/>
      <c r="AB89" s="400" t="s">
        <v>123</v>
      </c>
      <c r="AC89" s="400"/>
      <c r="AD89" s="46"/>
      <c r="AE89" s="127"/>
      <c r="AF89" s="46"/>
      <c r="AG89" s="39"/>
      <c r="AH89" s="39"/>
      <c r="AI89" s="39"/>
      <c r="AJ89" s="39"/>
      <c r="AK89" s="39"/>
      <c r="AL89" s="41"/>
      <c r="AM89" s="37"/>
      <c r="AN89" s="39"/>
      <c r="AO89" s="124"/>
      <c r="AP89" s="400" t="s">
        <v>123</v>
      </c>
      <c r="AQ89" s="400"/>
    </row>
    <row r="90" spans="1:53" ht="9" customHeight="1">
      <c r="A90" s="40"/>
      <c r="B90" s="301" t="s">
        <v>82</v>
      </c>
      <c r="C90" s="301"/>
      <c r="D90" s="301"/>
      <c r="E90" s="301"/>
      <c r="F90" s="319">
        <v>1</v>
      </c>
      <c r="G90" s="295" t="str">
        <f>IF('時間表'!L38="","",VLOOKUP(F90,FⅡ,2,0))</f>
        <v>Del Sole Shiki</v>
      </c>
      <c r="H90" s="295"/>
      <c r="I90" s="295"/>
      <c r="J90" s="295"/>
      <c r="K90" s="295"/>
      <c r="L90" s="373">
        <f>IF('時間表'!L43="","",'時間表'!L43)</f>
        <v>1</v>
      </c>
      <c r="M90" s="373"/>
      <c r="N90" s="356">
        <f>IF('時間表'!L44="","",'時間表'!L44)</f>
      </c>
      <c r="O90" s="357"/>
      <c r="P90" s="300" t="s">
        <v>85</v>
      </c>
      <c r="Q90" s="301"/>
      <c r="R90" s="301"/>
      <c r="S90" s="301"/>
      <c r="T90" s="319">
        <v>2</v>
      </c>
      <c r="U90" s="297" t="str">
        <f>_xlfn.IFERROR(VLOOKUP(T90,FⅡ,2,0),"")</f>
        <v>蔵　持</v>
      </c>
      <c r="V90" s="297"/>
      <c r="W90" s="297"/>
      <c r="X90" s="297"/>
      <c r="Y90" s="297"/>
      <c r="Z90" s="373">
        <f>IF('時間表'!L41="","",'時間表'!L41)</f>
        <v>0</v>
      </c>
      <c r="AA90" s="373"/>
      <c r="AB90" s="356">
        <f>IF('時間表'!L42="","",'時間表'!L42)</f>
      </c>
      <c r="AC90" s="357"/>
      <c r="AD90" s="300" t="s">
        <v>87</v>
      </c>
      <c r="AE90" s="301"/>
      <c r="AF90" s="301"/>
      <c r="AG90" s="301"/>
      <c r="AH90" s="319">
        <v>3</v>
      </c>
      <c r="AI90" s="297" t="str">
        <f>_xlfn.IFERROR(VLOOKUP(AH90,FⅡ,2,0),"")</f>
        <v>奈良伏見</v>
      </c>
      <c r="AJ90" s="297"/>
      <c r="AK90" s="297"/>
      <c r="AL90" s="297"/>
      <c r="AM90" s="297"/>
      <c r="AN90" s="373">
        <f>IF('時間表'!L39="","",'時間表'!L39)</f>
        <v>3</v>
      </c>
      <c r="AO90" s="373"/>
      <c r="AP90" s="356">
        <f>IF('時間表'!L40="","",'時間表'!L40)</f>
      </c>
      <c r="AQ90" s="357"/>
      <c r="AR90" s="37"/>
      <c r="AS90" s="37"/>
      <c r="AT90" s="59"/>
      <c r="AU90" s="60"/>
      <c r="AV90" s="60"/>
      <c r="AW90" s="60"/>
      <c r="AX90" s="60"/>
      <c r="AY90" s="60"/>
      <c r="AZ90" s="60"/>
      <c r="BA90" s="60"/>
    </row>
    <row r="91" spans="1:53" ht="9" customHeight="1" thickBot="1">
      <c r="A91" s="40"/>
      <c r="B91" s="301"/>
      <c r="C91" s="301"/>
      <c r="D91" s="301"/>
      <c r="E91" s="301"/>
      <c r="F91" s="320"/>
      <c r="G91" s="296"/>
      <c r="H91" s="296"/>
      <c r="I91" s="296"/>
      <c r="J91" s="296"/>
      <c r="K91" s="296"/>
      <c r="L91" s="373"/>
      <c r="M91" s="373"/>
      <c r="N91" s="358"/>
      <c r="O91" s="359"/>
      <c r="P91" s="300"/>
      <c r="Q91" s="301"/>
      <c r="R91" s="301"/>
      <c r="S91" s="301"/>
      <c r="T91" s="320"/>
      <c r="U91" s="298"/>
      <c r="V91" s="298"/>
      <c r="W91" s="298"/>
      <c r="X91" s="298"/>
      <c r="Y91" s="298"/>
      <c r="Z91" s="373"/>
      <c r="AA91" s="373"/>
      <c r="AB91" s="358"/>
      <c r="AC91" s="359"/>
      <c r="AD91" s="300"/>
      <c r="AE91" s="301"/>
      <c r="AF91" s="301"/>
      <c r="AG91" s="301"/>
      <c r="AH91" s="320"/>
      <c r="AI91" s="298"/>
      <c r="AJ91" s="298"/>
      <c r="AK91" s="298"/>
      <c r="AL91" s="298"/>
      <c r="AM91" s="298"/>
      <c r="AN91" s="373"/>
      <c r="AO91" s="373"/>
      <c r="AP91" s="358"/>
      <c r="AQ91" s="359"/>
      <c r="AR91" s="37"/>
      <c r="AS91" s="37"/>
      <c r="AT91" s="59"/>
      <c r="AU91" s="60"/>
      <c r="AV91" s="60"/>
      <c r="AW91" s="60"/>
      <c r="AX91" s="60"/>
      <c r="AY91" s="60"/>
      <c r="AZ91" s="60"/>
      <c r="BA91" s="60"/>
    </row>
  </sheetData>
  <sheetProtection selectLockedCells="1"/>
  <mergeCells count="759">
    <mergeCell ref="BA41:BE42"/>
    <mergeCell ref="AZ41:AZ42"/>
    <mergeCell ref="BA43:BE44"/>
    <mergeCell ref="AZ43:AZ44"/>
    <mergeCell ref="AZ45:AZ46"/>
    <mergeCell ref="AZ51:AZ52"/>
    <mergeCell ref="BA47:BE48"/>
    <mergeCell ref="BA51:BE52"/>
    <mergeCell ref="BA49:BE50"/>
    <mergeCell ref="BA45:BE46"/>
    <mergeCell ref="BJ47:BM48"/>
    <mergeCell ref="BJ43:BM44"/>
    <mergeCell ref="BJ75:BM76"/>
    <mergeCell ref="BJ71:BM72"/>
    <mergeCell ref="BJ49:BM50"/>
    <mergeCell ref="BJ45:BM46"/>
    <mergeCell ref="BA77:BE78"/>
    <mergeCell ref="AZ71:AZ72"/>
    <mergeCell ref="BJ81:BM82"/>
    <mergeCell ref="BJ77:BM78"/>
    <mergeCell ref="BJ73:BM74"/>
    <mergeCell ref="BJ51:BM52"/>
    <mergeCell ref="BA73:BE74"/>
    <mergeCell ref="BA71:BE72"/>
    <mergeCell ref="BB69:BE70"/>
    <mergeCell ref="AZ75:AZ76"/>
    <mergeCell ref="BN81:BO82"/>
    <mergeCell ref="BP81:BQ82"/>
    <mergeCell ref="BR81:BS82"/>
    <mergeCell ref="BT81:BT82"/>
    <mergeCell ref="BU81:BU82"/>
    <mergeCell ref="BJ79:BM80"/>
    <mergeCell ref="BN79:BO80"/>
    <mergeCell ref="BP79:BQ80"/>
    <mergeCell ref="BR79:BS80"/>
    <mergeCell ref="BT79:BT80"/>
    <mergeCell ref="BU79:BU80"/>
    <mergeCell ref="BN77:BO78"/>
    <mergeCell ref="BP77:BQ78"/>
    <mergeCell ref="BR77:BS78"/>
    <mergeCell ref="BT77:BT78"/>
    <mergeCell ref="BU77:BU78"/>
    <mergeCell ref="BN75:BO76"/>
    <mergeCell ref="BP75:BQ76"/>
    <mergeCell ref="BR75:BS76"/>
    <mergeCell ref="BT75:BT76"/>
    <mergeCell ref="BU75:BU76"/>
    <mergeCell ref="BN73:BO74"/>
    <mergeCell ref="BP73:BQ74"/>
    <mergeCell ref="BR73:BS74"/>
    <mergeCell ref="BT73:BT74"/>
    <mergeCell ref="BU73:BU74"/>
    <mergeCell ref="BN71:BO72"/>
    <mergeCell ref="BP71:BQ72"/>
    <mergeCell ref="BR71:BS72"/>
    <mergeCell ref="BT71:BT72"/>
    <mergeCell ref="BU71:BU72"/>
    <mergeCell ref="BN51:BO52"/>
    <mergeCell ref="BP51:BQ52"/>
    <mergeCell ref="BR51:BS52"/>
    <mergeCell ref="BT51:BT52"/>
    <mergeCell ref="BU51:BU52"/>
    <mergeCell ref="BN49:BO50"/>
    <mergeCell ref="BP49:BQ50"/>
    <mergeCell ref="BR49:BS50"/>
    <mergeCell ref="BT49:BT50"/>
    <mergeCell ref="BU49:BU50"/>
    <mergeCell ref="BN47:BO48"/>
    <mergeCell ref="BP47:BQ48"/>
    <mergeCell ref="BR47:BS48"/>
    <mergeCell ref="BT47:BT48"/>
    <mergeCell ref="BU47:BU48"/>
    <mergeCell ref="BN45:BO46"/>
    <mergeCell ref="BP45:BQ46"/>
    <mergeCell ref="BR45:BS46"/>
    <mergeCell ref="BT45:BT46"/>
    <mergeCell ref="BU45:BU46"/>
    <mergeCell ref="BN43:BO44"/>
    <mergeCell ref="BP43:BQ44"/>
    <mergeCell ref="BR43:BS44"/>
    <mergeCell ref="BT43:BT44"/>
    <mergeCell ref="BU43:BU44"/>
    <mergeCell ref="BJ41:BM42"/>
    <mergeCell ref="BN41:BO42"/>
    <mergeCell ref="BP41:BQ42"/>
    <mergeCell ref="BR41:BS42"/>
    <mergeCell ref="BT41:BT42"/>
    <mergeCell ref="BU41:BU42"/>
    <mergeCell ref="BJ21:BM22"/>
    <mergeCell ref="BN21:BO22"/>
    <mergeCell ref="BP21:BQ22"/>
    <mergeCell ref="BR21:BS22"/>
    <mergeCell ref="BT21:BT22"/>
    <mergeCell ref="BU21:BU22"/>
    <mergeCell ref="BJ19:BM20"/>
    <mergeCell ref="BN19:BO20"/>
    <mergeCell ref="BP19:BQ20"/>
    <mergeCell ref="BR19:BS20"/>
    <mergeCell ref="BT19:BT20"/>
    <mergeCell ref="BU19:BU20"/>
    <mergeCell ref="BJ17:BM18"/>
    <mergeCell ref="BN17:BO18"/>
    <mergeCell ref="BP17:BQ18"/>
    <mergeCell ref="BR17:BS18"/>
    <mergeCell ref="BT17:BT18"/>
    <mergeCell ref="BU17:BU18"/>
    <mergeCell ref="BJ15:BM16"/>
    <mergeCell ref="BN15:BO16"/>
    <mergeCell ref="BP15:BQ16"/>
    <mergeCell ref="BR15:BS16"/>
    <mergeCell ref="BT15:BT16"/>
    <mergeCell ref="BU15:BU16"/>
    <mergeCell ref="BJ13:BM14"/>
    <mergeCell ref="BN13:BO14"/>
    <mergeCell ref="BP13:BQ14"/>
    <mergeCell ref="BR13:BS14"/>
    <mergeCell ref="BT13:BT14"/>
    <mergeCell ref="BU13:BU14"/>
    <mergeCell ref="BJ11:BM12"/>
    <mergeCell ref="BN11:BO12"/>
    <mergeCell ref="BP11:BQ12"/>
    <mergeCell ref="BR11:BS12"/>
    <mergeCell ref="BT11:BT12"/>
    <mergeCell ref="BU11:BU12"/>
    <mergeCell ref="AH87:AH88"/>
    <mergeCell ref="AH90:AH91"/>
    <mergeCell ref="T87:T88"/>
    <mergeCell ref="T90:T91"/>
    <mergeCell ref="U87:Y88"/>
    <mergeCell ref="AP89:AQ89"/>
    <mergeCell ref="Z87:AA88"/>
    <mergeCell ref="Z90:AA91"/>
    <mergeCell ref="AB89:AC89"/>
    <mergeCell ref="AD87:AG88"/>
    <mergeCell ref="AD90:AG91"/>
    <mergeCell ref="AP90:AQ91"/>
    <mergeCell ref="AP87:AQ88"/>
    <mergeCell ref="U90:Y91"/>
    <mergeCell ref="AB90:AC91"/>
    <mergeCell ref="AB87:AC88"/>
    <mergeCell ref="AI87:AM88"/>
    <mergeCell ref="AI90:AM91"/>
    <mergeCell ref="AN87:AO88"/>
    <mergeCell ref="AN90:AO91"/>
    <mergeCell ref="AJ84:AK85"/>
    <mergeCell ref="AL84:AM85"/>
    <mergeCell ref="AH82:AI83"/>
    <mergeCell ref="AP80:AQ81"/>
    <mergeCell ref="AN78:AO79"/>
    <mergeCell ref="AL82:AM83"/>
    <mergeCell ref="AJ78:AK79"/>
    <mergeCell ref="AL78:AM79"/>
    <mergeCell ref="O75:P76"/>
    <mergeCell ref="R75:S76"/>
    <mergeCell ref="T75:Y76"/>
    <mergeCell ref="Z75:AA76"/>
    <mergeCell ref="AB75:AC76"/>
    <mergeCell ref="AH84:AI85"/>
    <mergeCell ref="AD75:AE76"/>
    <mergeCell ref="AD80:AE81"/>
    <mergeCell ref="AF80:AG81"/>
    <mergeCell ref="AH75:AI76"/>
    <mergeCell ref="AJ75:AK76"/>
    <mergeCell ref="AL75:AM76"/>
    <mergeCell ref="AD78:AE79"/>
    <mergeCell ref="AF78:AG79"/>
    <mergeCell ref="B90:E91"/>
    <mergeCell ref="F87:F88"/>
    <mergeCell ref="F90:F91"/>
    <mergeCell ref="G87:K88"/>
    <mergeCell ref="U80:V81"/>
    <mergeCell ref="X80:Y81"/>
    <mergeCell ref="G90:K91"/>
    <mergeCell ref="L87:M88"/>
    <mergeCell ref="L90:M91"/>
    <mergeCell ref="B78:C79"/>
    <mergeCell ref="N89:O89"/>
    <mergeCell ref="P87:S88"/>
    <mergeCell ref="P90:S91"/>
    <mergeCell ref="N90:O91"/>
    <mergeCell ref="N87:O88"/>
    <mergeCell ref="B87:E88"/>
    <mergeCell ref="D78:G79"/>
    <mergeCell ref="H78:M79"/>
    <mergeCell ref="N78:S79"/>
    <mergeCell ref="I73:J74"/>
    <mergeCell ref="L73:M74"/>
    <mergeCell ref="O84:P85"/>
    <mergeCell ref="R84:S85"/>
    <mergeCell ref="L82:M83"/>
    <mergeCell ref="N82:S83"/>
    <mergeCell ref="O80:P81"/>
    <mergeCell ref="T73:T74"/>
    <mergeCell ref="U73:V74"/>
    <mergeCell ref="X73:Y74"/>
    <mergeCell ref="AD84:AE85"/>
    <mergeCell ref="T82:T83"/>
    <mergeCell ref="U82:V83"/>
    <mergeCell ref="X82:Y83"/>
    <mergeCell ref="AB84:AC85"/>
    <mergeCell ref="T80:T81"/>
    <mergeCell ref="AF84:AG85"/>
    <mergeCell ref="AD82:AE83"/>
    <mergeCell ref="AF82:AG83"/>
    <mergeCell ref="Z78:AA79"/>
    <mergeCell ref="AB78:AC79"/>
    <mergeCell ref="Z80:AA81"/>
    <mergeCell ref="AB80:AC81"/>
    <mergeCell ref="Z82:AA83"/>
    <mergeCell ref="AB82:AC83"/>
    <mergeCell ref="Z84:AA85"/>
    <mergeCell ref="AF75:AG76"/>
    <mergeCell ref="AR84:AR85"/>
    <mergeCell ref="AS84:AS85"/>
    <mergeCell ref="AJ82:AK83"/>
    <mergeCell ref="AU84:AU85"/>
    <mergeCell ref="AN82:AO83"/>
    <mergeCell ref="AP82:AQ83"/>
    <mergeCell ref="AT84:AT85"/>
    <mergeCell ref="AN84:AO85"/>
    <mergeCell ref="AP84:AQ85"/>
    <mergeCell ref="AR82:AR83"/>
    <mergeCell ref="AS82:AS83"/>
    <mergeCell ref="AT82:AT83"/>
    <mergeCell ref="A84:A85"/>
    <mergeCell ref="B84:G85"/>
    <mergeCell ref="H84:H85"/>
    <mergeCell ref="I84:J85"/>
    <mergeCell ref="L84:M85"/>
    <mergeCell ref="N84:N85"/>
    <mergeCell ref="T84:Y85"/>
    <mergeCell ref="A80:A81"/>
    <mergeCell ref="B80:G81"/>
    <mergeCell ref="A82:A83"/>
    <mergeCell ref="B82:G83"/>
    <mergeCell ref="H82:H83"/>
    <mergeCell ref="I82:J83"/>
    <mergeCell ref="H80:M81"/>
    <mergeCell ref="R80:S81"/>
    <mergeCell ref="AU78:AU79"/>
    <mergeCell ref="AZ79:AZ80"/>
    <mergeCell ref="AH80:AI81"/>
    <mergeCell ref="AJ80:AK81"/>
    <mergeCell ref="AL80:AM81"/>
    <mergeCell ref="AN80:AO81"/>
    <mergeCell ref="AR80:AR81"/>
    <mergeCell ref="T78:Y79"/>
    <mergeCell ref="BA81:BE82"/>
    <mergeCell ref="AR78:AR79"/>
    <mergeCell ref="AS78:AS79"/>
    <mergeCell ref="AT78:AT79"/>
    <mergeCell ref="BA79:BE80"/>
    <mergeCell ref="AS80:AS81"/>
    <mergeCell ref="AT80:AT81"/>
    <mergeCell ref="AU80:AU81"/>
    <mergeCell ref="AZ81:AZ82"/>
    <mergeCell ref="AU82:AU83"/>
    <mergeCell ref="AT75:AT76"/>
    <mergeCell ref="AU75:AU76"/>
    <mergeCell ref="BA75:BE76"/>
    <mergeCell ref="AP78:AQ79"/>
    <mergeCell ref="AS75:AS76"/>
    <mergeCell ref="AH78:AI79"/>
    <mergeCell ref="AR75:AR76"/>
    <mergeCell ref="AP75:AQ76"/>
    <mergeCell ref="AN75:AO76"/>
    <mergeCell ref="AZ77:AZ78"/>
    <mergeCell ref="AP73:AQ74"/>
    <mergeCell ref="Z73:AA74"/>
    <mergeCell ref="AB73:AC74"/>
    <mergeCell ref="AD73:AE74"/>
    <mergeCell ref="A75:A76"/>
    <mergeCell ref="B75:G76"/>
    <mergeCell ref="H75:H76"/>
    <mergeCell ref="I75:J76"/>
    <mergeCell ref="L75:M76"/>
    <mergeCell ref="N75:N76"/>
    <mergeCell ref="A73:A74"/>
    <mergeCell ref="B73:G74"/>
    <mergeCell ref="H73:H74"/>
    <mergeCell ref="AS73:AS74"/>
    <mergeCell ref="AT73:AT74"/>
    <mergeCell ref="AF73:AG74"/>
    <mergeCell ref="AH73:AI74"/>
    <mergeCell ref="AJ73:AK74"/>
    <mergeCell ref="AL73:AM74"/>
    <mergeCell ref="AN73:AO74"/>
    <mergeCell ref="AD71:AE72"/>
    <mergeCell ref="AF71:AG72"/>
    <mergeCell ref="AH71:AI72"/>
    <mergeCell ref="AU73:AU74"/>
    <mergeCell ref="AZ73:AZ74"/>
    <mergeCell ref="AR71:AR72"/>
    <mergeCell ref="AS71:AS72"/>
    <mergeCell ref="AT71:AT72"/>
    <mergeCell ref="AU71:AU72"/>
    <mergeCell ref="AR73:AR74"/>
    <mergeCell ref="AJ71:AK72"/>
    <mergeCell ref="AL71:AM72"/>
    <mergeCell ref="AN71:AO72"/>
    <mergeCell ref="AP71:AQ72"/>
    <mergeCell ref="N73:S74"/>
    <mergeCell ref="X71:Y72"/>
    <mergeCell ref="Z71:AA72"/>
    <mergeCell ref="T71:T72"/>
    <mergeCell ref="U71:V72"/>
    <mergeCell ref="AB71:AC72"/>
    <mergeCell ref="A71:A72"/>
    <mergeCell ref="B71:G72"/>
    <mergeCell ref="H71:M72"/>
    <mergeCell ref="N71:N72"/>
    <mergeCell ref="O71:P72"/>
    <mergeCell ref="R71:S72"/>
    <mergeCell ref="B66:C67"/>
    <mergeCell ref="B69:C70"/>
    <mergeCell ref="D69:G70"/>
    <mergeCell ref="AN69:AO70"/>
    <mergeCell ref="AZ69:BA70"/>
    <mergeCell ref="AP69:AQ70"/>
    <mergeCell ref="AR69:AR70"/>
    <mergeCell ref="AS69:AS70"/>
    <mergeCell ref="AT69:AT70"/>
    <mergeCell ref="AU69:AU70"/>
    <mergeCell ref="D66:P67"/>
    <mergeCell ref="H69:M70"/>
    <mergeCell ref="N69:S70"/>
    <mergeCell ref="T69:Y70"/>
    <mergeCell ref="Z69:AA70"/>
    <mergeCell ref="AB69:AC70"/>
    <mergeCell ref="AD69:AE70"/>
    <mergeCell ref="AF69:AG70"/>
    <mergeCell ref="AH69:AI70"/>
    <mergeCell ref="AJ69:AK70"/>
    <mergeCell ref="AL69:AM70"/>
    <mergeCell ref="AP60:AQ61"/>
    <mergeCell ref="F57:F58"/>
    <mergeCell ref="G57:K58"/>
    <mergeCell ref="AN57:AO58"/>
    <mergeCell ref="L57:M58"/>
    <mergeCell ref="N59:O59"/>
    <mergeCell ref="P57:S58"/>
    <mergeCell ref="T57:T58"/>
    <mergeCell ref="AH57:AH58"/>
    <mergeCell ref="AI57:AM58"/>
    <mergeCell ref="Z57:AA58"/>
    <mergeCell ref="AP59:AQ59"/>
    <mergeCell ref="P60:S61"/>
    <mergeCell ref="AB60:AC61"/>
    <mergeCell ref="AD60:AG61"/>
    <mergeCell ref="AH60:AH61"/>
    <mergeCell ref="AI60:AM61"/>
    <mergeCell ref="Z60:AA61"/>
    <mergeCell ref="AB59:AC59"/>
    <mergeCell ref="U60:Y61"/>
    <mergeCell ref="B60:E61"/>
    <mergeCell ref="F60:F61"/>
    <mergeCell ref="G60:K61"/>
    <mergeCell ref="AN60:AO61"/>
    <mergeCell ref="L60:M61"/>
    <mergeCell ref="N57:O58"/>
    <mergeCell ref="AB57:AC58"/>
    <mergeCell ref="N60:O61"/>
    <mergeCell ref="T60:T61"/>
    <mergeCell ref="B57:E58"/>
    <mergeCell ref="AP57:AQ58"/>
    <mergeCell ref="AJ54:AK55"/>
    <mergeCell ref="AD54:AE55"/>
    <mergeCell ref="AF54:AG55"/>
    <mergeCell ref="AH54:AI55"/>
    <mergeCell ref="AP54:AQ55"/>
    <mergeCell ref="AL54:AM55"/>
    <mergeCell ref="AD57:AG58"/>
    <mergeCell ref="N54:N55"/>
    <mergeCell ref="Z54:AA55"/>
    <mergeCell ref="AB54:AC55"/>
    <mergeCell ref="O54:P55"/>
    <mergeCell ref="R54:S55"/>
    <mergeCell ref="T54:Y55"/>
    <mergeCell ref="AT52:AT53"/>
    <mergeCell ref="AH52:AI53"/>
    <mergeCell ref="AJ52:AK53"/>
    <mergeCell ref="AN54:AO55"/>
    <mergeCell ref="U57:Y58"/>
    <mergeCell ref="A54:A55"/>
    <mergeCell ref="B54:G55"/>
    <mergeCell ref="H54:H55"/>
    <mergeCell ref="I54:J55"/>
    <mergeCell ref="L54:M55"/>
    <mergeCell ref="AT54:AT55"/>
    <mergeCell ref="AU54:AU55"/>
    <mergeCell ref="AR54:AR55"/>
    <mergeCell ref="AN50:AO51"/>
    <mergeCell ref="AB52:AC53"/>
    <mergeCell ref="AD52:AE53"/>
    <mergeCell ref="AB50:AC51"/>
    <mergeCell ref="AD50:AE51"/>
    <mergeCell ref="AL50:AM51"/>
    <mergeCell ref="AU52:AU53"/>
    <mergeCell ref="X52:Y53"/>
    <mergeCell ref="AL52:AM53"/>
    <mergeCell ref="AN52:AO53"/>
    <mergeCell ref="AP52:AQ53"/>
    <mergeCell ref="Z52:AA53"/>
    <mergeCell ref="AS54:AS55"/>
    <mergeCell ref="AR52:AR53"/>
    <mergeCell ref="AS52:AS53"/>
    <mergeCell ref="B50:G51"/>
    <mergeCell ref="AF52:AG53"/>
    <mergeCell ref="AH48:AI49"/>
    <mergeCell ref="AD48:AE49"/>
    <mergeCell ref="AJ48:AK49"/>
    <mergeCell ref="T52:T53"/>
    <mergeCell ref="U50:V51"/>
    <mergeCell ref="X50:Y51"/>
    <mergeCell ref="Z50:AA51"/>
    <mergeCell ref="U52:V53"/>
    <mergeCell ref="B48:C49"/>
    <mergeCell ref="D48:G49"/>
    <mergeCell ref="AJ50:AK51"/>
    <mergeCell ref="A52:A53"/>
    <mergeCell ref="B52:G53"/>
    <mergeCell ref="H52:H53"/>
    <mergeCell ref="I52:J53"/>
    <mergeCell ref="L52:M53"/>
    <mergeCell ref="N52:S53"/>
    <mergeCell ref="A50:A51"/>
    <mergeCell ref="AZ49:AZ50"/>
    <mergeCell ref="AU50:AU51"/>
    <mergeCell ref="AZ47:AZ48"/>
    <mergeCell ref="H50:M51"/>
    <mergeCell ref="O50:P51"/>
    <mergeCell ref="R50:S51"/>
    <mergeCell ref="T50:T51"/>
    <mergeCell ref="AR48:AR49"/>
    <mergeCell ref="AS48:AS49"/>
    <mergeCell ref="AL48:AM49"/>
    <mergeCell ref="AF50:AG51"/>
    <mergeCell ref="AH50:AI51"/>
    <mergeCell ref="AN48:AO49"/>
    <mergeCell ref="AP50:AQ51"/>
    <mergeCell ref="AP48:AQ49"/>
    <mergeCell ref="AU48:AU49"/>
    <mergeCell ref="H48:M49"/>
    <mergeCell ref="N48:S49"/>
    <mergeCell ref="T48:Y49"/>
    <mergeCell ref="Z48:AA49"/>
    <mergeCell ref="AT48:AT49"/>
    <mergeCell ref="AT50:AT51"/>
    <mergeCell ref="AS50:AS51"/>
    <mergeCell ref="AF48:AG49"/>
    <mergeCell ref="AB48:AC49"/>
    <mergeCell ref="AR50:AR51"/>
    <mergeCell ref="O45:P46"/>
    <mergeCell ref="R45:S46"/>
    <mergeCell ref="AF45:AG46"/>
    <mergeCell ref="T45:Y46"/>
    <mergeCell ref="Z45:AA46"/>
    <mergeCell ref="AB45:AC46"/>
    <mergeCell ref="AD45:AE46"/>
    <mergeCell ref="AS45:AS46"/>
    <mergeCell ref="AT45:AT46"/>
    <mergeCell ref="AU45:AU46"/>
    <mergeCell ref="AR45:AR46"/>
    <mergeCell ref="AS43:AS44"/>
    <mergeCell ref="AT43:AT44"/>
    <mergeCell ref="T43:T44"/>
    <mergeCell ref="U43:V44"/>
    <mergeCell ref="X43:Y44"/>
    <mergeCell ref="Z43:AA44"/>
    <mergeCell ref="AB43:AC44"/>
    <mergeCell ref="AD43:AE44"/>
    <mergeCell ref="AP45:AQ46"/>
    <mergeCell ref="AH45:AI46"/>
    <mergeCell ref="AJ45:AK46"/>
    <mergeCell ref="AL45:AM46"/>
    <mergeCell ref="AN45:AO46"/>
    <mergeCell ref="A45:A46"/>
    <mergeCell ref="B45:G46"/>
    <mergeCell ref="H45:H46"/>
    <mergeCell ref="I45:J46"/>
    <mergeCell ref="L45:M46"/>
    <mergeCell ref="N45:N46"/>
    <mergeCell ref="AH41:AI42"/>
    <mergeCell ref="AU43:AU44"/>
    <mergeCell ref="AF43:AG44"/>
    <mergeCell ref="AH43:AI44"/>
    <mergeCell ref="AJ43:AK44"/>
    <mergeCell ref="AL43:AM44"/>
    <mergeCell ref="AN43:AO44"/>
    <mergeCell ref="AP43:AQ44"/>
    <mergeCell ref="AR43:AR44"/>
    <mergeCell ref="A43:A44"/>
    <mergeCell ref="B43:G44"/>
    <mergeCell ref="H43:H44"/>
    <mergeCell ref="I43:J44"/>
    <mergeCell ref="L43:M44"/>
    <mergeCell ref="N43:S44"/>
    <mergeCell ref="AU41:AU42"/>
    <mergeCell ref="AJ41:AK42"/>
    <mergeCell ref="AL41:AM42"/>
    <mergeCell ref="AT41:AT42"/>
    <mergeCell ref="Z41:AA42"/>
    <mergeCell ref="AB41:AC42"/>
    <mergeCell ref="AD41:AE42"/>
    <mergeCell ref="AF41:AG42"/>
    <mergeCell ref="AN41:AO42"/>
    <mergeCell ref="AP41:AQ42"/>
    <mergeCell ref="A41:A42"/>
    <mergeCell ref="B41:G42"/>
    <mergeCell ref="H41:M42"/>
    <mergeCell ref="N41:N42"/>
    <mergeCell ref="O41:P42"/>
    <mergeCell ref="R41:S42"/>
    <mergeCell ref="T41:T42"/>
    <mergeCell ref="U41:V42"/>
    <mergeCell ref="AR41:AR42"/>
    <mergeCell ref="AS41:AS42"/>
    <mergeCell ref="X41:Y42"/>
    <mergeCell ref="AZ39:BA40"/>
    <mergeCell ref="AP39:AQ40"/>
    <mergeCell ref="AR39:AR40"/>
    <mergeCell ref="AS39:AS40"/>
    <mergeCell ref="AT39:AT40"/>
    <mergeCell ref="BB39:BE40"/>
    <mergeCell ref="AU39:AU40"/>
    <mergeCell ref="H39:M40"/>
    <mergeCell ref="N39:S40"/>
    <mergeCell ref="T39:Y40"/>
    <mergeCell ref="Z39:AA40"/>
    <mergeCell ref="AH39:AI40"/>
    <mergeCell ref="AJ39:AK40"/>
    <mergeCell ref="AL39:AM40"/>
    <mergeCell ref="AN39:AO40"/>
    <mergeCell ref="AB39:AC40"/>
    <mergeCell ref="AD39:AE40"/>
    <mergeCell ref="AF39:AG40"/>
    <mergeCell ref="O24:P25"/>
    <mergeCell ref="R24:S25"/>
    <mergeCell ref="T24:Y25"/>
    <mergeCell ref="T27:T28"/>
    <mergeCell ref="N30:O31"/>
    <mergeCell ref="D36:P37"/>
    <mergeCell ref="B27:E28"/>
    <mergeCell ref="B30:E31"/>
    <mergeCell ref="F27:F28"/>
    <mergeCell ref="F30:F31"/>
    <mergeCell ref="G27:K28"/>
    <mergeCell ref="G30:K31"/>
    <mergeCell ref="T30:T31"/>
    <mergeCell ref="U30:Y31"/>
    <mergeCell ref="Z30:AA31"/>
    <mergeCell ref="L27:M28"/>
    <mergeCell ref="B39:C40"/>
    <mergeCell ref="D39:G40"/>
    <mergeCell ref="AU24:AU25"/>
    <mergeCell ref="N27:O28"/>
    <mergeCell ref="AB27:AC28"/>
    <mergeCell ref="AL24:AM25"/>
    <mergeCell ref="AN24:AO25"/>
    <mergeCell ref="AP24:AQ25"/>
    <mergeCell ref="AT24:AT25"/>
    <mergeCell ref="L30:M31"/>
    <mergeCell ref="N29:O29"/>
    <mergeCell ref="P27:S28"/>
    <mergeCell ref="P30:S31"/>
    <mergeCell ref="AN30:AO31"/>
    <mergeCell ref="AP29:AQ29"/>
    <mergeCell ref="AB29:AC29"/>
    <mergeCell ref="AD30:AG31"/>
    <mergeCell ref="AH30:AH31"/>
    <mergeCell ref="AI30:AM31"/>
    <mergeCell ref="AB30:AC31"/>
    <mergeCell ref="AP30:AQ31"/>
    <mergeCell ref="B36:C37"/>
    <mergeCell ref="U22:V23"/>
    <mergeCell ref="X22:Y23"/>
    <mergeCell ref="AL22:AM23"/>
    <mergeCell ref="AN22:AO23"/>
    <mergeCell ref="AP22:AQ23"/>
    <mergeCell ref="U27:Y28"/>
    <mergeCell ref="Z27:AA28"/>
    <mergeCell ref="AR24:AR25"/>
    <mergeCell ref="AS24:AS25"/>
    <mergeCell ref="Z24:AA25"/>
    <mergeCell ref="AB24:AC25"/>
    <mergeCell ref="AD24:AE25"/>
    <mergeCell ref="AF24:AG25"/>
    <mergeCell ref="AH24:AI25"/>
    <mergeCell ref="AJ24:AK25"/>
    <mergeCell ref="AP27:AQ28"/>
    <mergeCell ref="AN27:AO28"/>
    <mergeCell ref="AD27:AG28"/>
    <mergeCell ref="AH27:AH28"/>
    <mergeCell ref="AI27:AM28"/>
    <mergeCell ref="A24:A25"/>
    <mergeCell ref="B24:G25"/>
    <mergeCell ref="H24:H25"/>
    <mergeCell ref="I24:J25"/>
    <mergeCell ref="L24:M25"/>
    <mergeCell ref="N24:N25"/>
    <mergeCell ref="A20:A21"/>
    <mergeCell ref="B20:G21"/>
    <mergeCell ref="AU22:AU23"/>
    <mergeCell ref="AR22:AR23"/>
    <mergeCell ref="AS22:AS23"/>
    <mergeCell ref="AT22:AT23"/>
    <mergeCell ref="AH22:AI23"/>
    <mergeCell ref="AJ22:AK23"/>
    <mergeCell ref="AJ20:AK21"/>
    <mergeCell ref="A22:A23"/>
    <mergeCell ref="B22:G23"/>
    <mergeCell ref="H22:H23"/>
    <mergeCell ref="I22:J23"/>
    <mergeCell ref="L22:M23"/>
    <mergeCell ref="N22:S23"/>
    <mergeCell ref="T22:T23"/>
    <mergeCell ref="AS20:AS21"/>
    <mergeCell ref="U20:V21"/>
    <mergeCell ref="BA21:BE22"/>
    <mergeCell ref="AT18:AT19"/>
    <mergeCell ref="BA19:BE20"/>
    <mergeCell ref="AT20:AT21"/>
    <mergeCell ref="AU18:AU19"/>
    <mergeCell ref="AZ19:AZ20"/>
    <mergeCell ref="AU20:AU21"/>
    <mergeCell ref="Z20:AA21"/>
    <mergeCell ref="AB20:AC21"/>
    <mergeCell ref="AD20:AE21"/>
    <mergeCell ref="AD18:AE19"/>
    <mergeCell ref="AL20:AM21"/>
    <mergeCell ref="AN20:AO21"/>
    <mergeCell ref="AZ21:AZ22"/>
    <mergeCell ref="AF18:AG19"/>
    <mergeCell ref="AH18:AI19"/>
    <mergeCell ref="AL18:AM19"/>
    <mergeCell ref="AN18:AO19"/>
    <mergeCell ref="AF20:AG21"/>
    <mergeCell ref="AZ17:AZ18"/>
    <mergeCell ref="AP20:AQ21"/>
    <mergeCell ref="AP18:AQ19"/>
    <mergeCell ref="AH20:AI21"/>
    <mergeCell ref="T20:T21"/>
    <mergeCell ref="AR18:AR19"/>
    <mergeCell ref="AS18:AS19"/>
    <mergeCell ref="AB18:AC19"/>
    <mergeCell ref="AR20:AR21"/>
    <mergeCell ref="Z22:AA23"/>
    <mergeCell ref="AB22:AC23"/>
    <mergeCell ref="AD22:AE23"/>
    <mergeCell ref="AF22:AG23"/>
    <mergeCell ref="X20:Y21"/>
    <mergeCell ref="B18:C19"/>
    <mergeCell ref="D18:G19"/>
    <mergeCell ref="H18:M19"/>
    <mergeCell ref="N18:S19"/>
    <mergeCell ref="T18:Y19"/>
    <mergeCell ref="Z18:AA19"/>
    <mergeCell ref="H20:M21"/>
    <mergeCell ref="O20:P21"/>
    <mergeCell ref="R20:S21"/>
    <mergeCell ref="BA15:BE16"/>
    <mergeCell ref="AF15:AG16"/>
    <mergeCell ref="AH15:AI16"/>
    <mergeCell ref="AJ15:AK16"/>
    <mergeCell ref="AL15:AM16"/>
    <mergeCell ref="AN15:AO16"/>
    <mergeCell ref="AS15:AS16"/>
    <mergeCell ref="AT15:AT16"/>
    <mergeCell ref="AP15:AQ16"/>
    <mergeCell ref="AZ15:AZ16"/>
    <mergeCell ref="T15:Y16"/>
    <mergeCell ref="Z15:AA16"/>
    <mergeCell ref="AB15:AC16"/>
    <mergeCell ref="AD15:AE16"/>
    <mergeCell ref="AU15:AU16"/>
    <mergeCell ref="AR15:AR16"/>
    <mergeCell ref="O15:P16"/>
    <mergeCell ref="R15:S16"/>
    <mergeCell ref="BA17:BE18"/>
    <mergeCell ref="AJ18:AK19"/>
    <mergeCell ref="T13:T14"/>
    <mergeCell ref="U13:V14"/>
    <mergeCell ref="X13:Y14"/>
    <mergeCell ref="Z13:AA14"/>
    <mergeCell ref="AB13:AC14"/>
    <mergeCell ref="BA13:BE14"/>
    <mergeCell ref="AJ11:AK12"/>
    <mergeCell ref="AL11:AM12"/>
    <mergeCell ref="AN11:AO12"/>
    <mergeCell ref="AP11:AQ12"/>
    <mergeCell ref="AD13:AE14"/>
    <mergeCell ref="AH13:AI14"/>
    <mergeCell ref="AJ13:AK14"/>
    <mergeCell ref="AL13:AM14"/>
    <mergeCell ref="AN13:AO14"/>
    <mergeCell ref="AP13:AQ14"/>
    <mergeCell ref="X11:Y12"/>
    <mergeCell ref="Z11:AA12"/>
    <mergeCell ref="AB11:AC12"/>
    <mergeCell ref="AD11:AE12"/>
    <mergeCell ref="A13:A14"/>
    <mergeCell ref="B13:G14"/>
    <mergeCell ref="H13:H14"/>
    <mergeCell ref="I13:J14"/>
    <mergeCell ref="L13:M14"/>
    <mergeCell ref="N13:S14"/>
    <mergeCell ref="A15:A16"/>
    <mergeCell ref="B15:G16"/>
    <mergeCell ref="H15:H16"/>
    <mergeCell ref="I15:J16"/>
    <mergeCell ref="L15:M16"/>
    <mergeCell ref="N15:N16"/>
    <mergeCell ref="AR9:AR10"/>
    <mergeCell ref="AS9:AS10"/>
    <mergeCell ref="AT9:AT10"/>
    <mergeCell ref="AU9:AU10"/>
    <mergeCell ref="AB9:AC10"/>
    <mergeCell ref="AD9:AE10"/>
    <mergeCell ref="AP9:AQ10"/>
    <mergeCell ref="AZ9:BA10"/>
    <mergeCell ref="BB9:BE10"/>
    <mergeCell ref="A11:A12"/>
    <mergeCell ref="B11:G12"/>
    <mergeCell ref="H11:M12"/>
    <mergeCell ref="N11:N12"/>
    <mergeCell ref="O11:P12"/>
    <mergeCell ref="R11:S12"/>
    <mergeCell ref="T11:T12"/>
    <mergeCell ref="U11:V12"/>
    <mergeCell ref="AF11:AG12"/>
    <mergeCell ref="AH11:AI12"/>
    <mergeCell ref="AR11:AR12"/>
    <mergeCell ref="AS11:AS12"/>
    <mergeCell ref="AU13:AU14"/>
    <mergeCell ref="AZ13:AZ14"/>
    <mergeCell ref="AF13:AG14"/>
    <mergeCell ref="AR13:AR14"/>
    <mergeCell ref="AS13:AS14"/>
    <mergeCell ref="AZ11:AZ12"/>
    <mergeCell ref="BA11:BE12"/>
    <mergeCell ref="AT11:AT12"/>
    <mergeCell ref="AU11:AU12"/>
    <mergeCell ref="AT13:AT14"/>
    <mergeCell ref="B6:C7"/>
    <mergeCell ref="B9:C10"/>
    <mergeCell ref="D9:G10"/>
    <mergeCell ref="H9:M10"/>
    <mergeCell ref="N9:S10"/>
    <mergeCell ref="T9:Y10"/>
    <mergeCell ref="Z9:AA10"/>
    <mergeCell ref="D6:P7"/>
    <mergeCell ref="B2:U3"/>
    <mergeCell ref="V2:AQ3"/>
    <mergeCell ref="V4:AQ5"/>
    <mergeCell ref="AF9:AG10"/>
    <mergeCell ref="AH9:AI10"/>
    <mergeCell ref="AJ9:AK10"/>
    <mergeCell ref="AL9:AM10"/>
    <mergeCell ref="AN9:AO10"/>
  </mergeCells>
  <printOptions/>
  <pageMargins left="0.4724409448818898" right="0.4724409448818898" top="0.5511811023622047" bottom="0.5511811023622047" header="0.31496062992125984" footer="0.31496062992125984"/>
  <pageSetup horizontalDpi="300" verticalDpi="300" orientation="portrait" paperSize="9" scale="98" r:id="rId1"/>
  <headerFooter>
    <oddFooter>&amp;C&amp;[５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U86"/>
  <sheetViews>
    <sheetView zoomScalePageLayoutView="0" workbookViewId="0" topLeftCell="A8">
      <selection activeCell="AP54" sqref="AP54:AQ55"/>
    </sheetView>
  </sheetViews>
  <sheetFormatPr defaultColWidth="2.125" defaultRowHeight="9" customHeight="1"/>
  <cols>
    <col min="1" max="25" width="2.125" style="19" customWidth="1"/>
    <col min="26" max="41" width="2.125" style="21" customWidth="1"/>
    <col min="42" max="43" width="2.125" style="19" customWidth="1"/>
    <col min="44" max="44" width="6.25390625" style="19" hidden="1" customWidth="1"/>
    <col min="45" max="46" width="5.75390625" style="19" hidden="1" customWidth="1"/>
    <col min="47" max="47" width="6.25390625" style="19" hidden="1" customWidth="1"/>
    <col min="48" max="73" width="0" style="19" hidden="1" customWidth="1"/>
    <col min="74" max="16384" width="2.125" style="19" customWidth="1"/>
  </cols>
  <sheetData>
    <row r="2" spans="2:43" ht="9" customHeight="1">
      <c r="B2" s="378" t="str">
        <f>'予選'!B2</f>
        <v>★予選リーグ　８月５日（土）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81" t="str">
        <f>'予選'!V2</f>
        <v>予選　　　　　　１５分―５分―１５分</v>
      </c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</row>
    <row r="3" spans="2:43" ht="9" customHeight="1"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</row>
    <row r="4" spans="2:43" ht="9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381" t="str">
        <f>'予選'!V4</f>
        <v>順位決定戦　　　１５分―５分―１５分</v>
      </c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</row>
    <row r="5" spans="2:43" ht="9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</row>
    <row r="6" spans="2:19" ht="9" customHeight="1" thickBot="1">
      <c r="B6" s="314" t="s">
        <v>61</v>
      </c>
      <c r="C6" s="314"/>
      <c r="D6" s="307" t="str">
        <f>'時間表'!V24</f>
        <v>西部生涯Ｇ</v>
      </c>
      <c r="E6" s="308"/>
      <c r="F6" s="308"/>
      <c r="G6" s="308"/>
      <c r="H6" s="308"/>
      <c r="I6" s="307"/>
      <c r="J6" s="307"/>
      <c r="K6" s="307"/>
      <c r="L6" s="307"/>
      <c r="M6" s="307"/>
      <c r="N6" s="307"/>
      <c r="O6" s="307"/>
      <c r="P6" s="307"/>
      <c r="Q6" s="20"/>
      <c r="R6" s="20"/>
      <c r="S6" s="20"/>
    </row>
    <row r="7" spans="2:19" ht="9" customHeight="1">
      <c r="B7" s="314"/>
      <c r="C7" s="314"/>
      <c r="D7" s="307"/>
      <c r="E7" s="309"/>
      <c r="F7" s="309"/>
      <c r="G7" s="309"/>
      <c r="H7" s="309"/>
      <c r="I7" s="309"/>
      <c r="J7" s="309"/>
      <c r="K7" s="309"/>
      <c r="L7" s="309"/>
      <c r="M7" s="307"/>
      <c r="N7" s="307"/>
      <c r="O7" s="307"/>
      <c r="P7" s="307"/>
      <c r="Q7" s="20"/>
      <c r="R7" s="20"/>
      <c r="S7" s="20"/>
    </row>
    <row r="8" spans="5:12" ht="9" customHeight="1" thickBot="1">
      <c r="E8" s="207"/>
      <c r="F8" s="207"/>
      <c r="G8" s="207"/>
      <c r="H8" s="207"/>
      <c r="I8" s="207"/>
      <c r="J8" s="207"/>
      <c r="K8" s="207"/>
      <c r="L8" s="207"/>
    </row>
    <row r="9" spans="2:57" ht="9" customHeight="1" thickBot="1">
      <c r="B9" s="283" t="str">
        <f>'時間表'!T23</f>
        <v>G</v>
      </c>
      <c r="C9" s="284"/>
      <c r="D9" s="287" t="s">
        <v>79</v>
      </c>
      <c r="E9" s="315"/>
      <c r="F9" s="315"/>
      <c r="G9" s="316"/>
      <c r="H9" s="406" t="str">
        <f>B11</f>
        <v>ｿﾚｽﾃﾚｰｼﾞｬ</v>
      </c>
      <c r="I9" s="406"/>
      <c r="J9" s="406"/>
      <c r="K9" s="413"/>
      <c r="L9" s="413"/>
      <c r="M9" s="407"/>
      <c r="N9" s="407" t="str">
        <f>B13</f>
        <v>野　畑</v>
      </c>
      <c r="O9" s="407"/>
      <c r="P9" s="407"/>
      <c r="Q9" s="407"/>
      <c r="R9" s="407"/>
      <c r="S9" s="407"/>
      <c r="T9" s="407" t="str">
        <f>B15</f>
        <v>大　原</v>
      </c>
      <c r="U9" s="407"/>
      <c r="V9" s="407"/>
      <c r="W9" s="407"/>
      <c r="X9" s="407"/>
      <c r="Y9" s="407"/>
      <c r="Z9" s="404" t="s">
        <v>62</v>
      </c>
      <c r="AA9" s="404"/>
      <c r="AB9" s="404" t="s">
        <v>63</v>
      </c>
      <c r="AC9" s="404"/>
      <c r="AD9" s="404" t="s">
        <v>64</v>
      </c>
      <c r="AE9" s="404"/>
      <c r="AF9" s="404" t="s">
        <v>67</v>
      </c>
      <c r="AG9" s="404"/>
      <c r="AH9" s="404" t="s">
        <v>65</v>
      </c>
      <c r="AI9" s="404"/>
      <c r="AJ9" s="407" t="s">
        <v>69</v>
      </c>
      <c r="AK9" s="407"/>
      <c r="AL9" s="404" t="s">
        <v>66</v>
      </c>
      <c r="AM9" s="404"/>
      <c r="AN9" s="404" t="s">
        <v>68</v>
      </c>
      <c r="AO9" s="404"/>
      <c r="AP9" s="408" t="s">
        <v>83</v>
      </c>
      <c r="AQ9" s="409"/>
      <c r="AR9" s="415" t="s">
        <v>57</v>
      </c>
      <c r="AS9" s="415" t="s">
        <v>59</v>
      </c>
      <c r="AT9" s="415" t="s">
        <v>58</v>
      </c>
      <c r="AU9" s="415" t="s">
        <v>60</v>
      </c>
      <c r="AZ9" s="350" t="str">
        <f>B9</f>
        <v>G</v>
      </c>
      <c r="BA9" s="351"/>
      <c r="BB9" s="351" t="s">
        <v>88</v>
      </c>
      <c r="BC9" s="351"/>
      <c r="BD9" s="351"/>
      <c r="BE9" s="354"/>
    </row>
    <row r="10" spans="2:57" ht="9" customHeight="1">
      <c r="B10" s="285"/>
      <c r="C10" s="286"/>
      <c r="D10" s="289"/>
      <c r="E10" s="289"/>
      <c r="F10" s="289"/>
      <c r="G10" s="290"/>
      <c r="H10" s="407"/>
      <c r="I10" s="407"/>
      <c r="J10" s="407"/>
      <c r="K10" s="406"/>
      <c r="L10" s="406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6"/>
      <c r="AA10" s="406"/>
      <c r="AB10" s="406"/>
      <c r="AC10" s="406"/>
      <c r="AD10" s="406"/>
      <c r="AE10" s="406"/>
      <c r="AF10" s="405"/>
      <c r="AG10" s="405"/>
      <c r="AH10" s="406"/>
      <c r="AI10" s="406"/>
      <c r="AJ10" s="407"/>
      <c r="AK10" s="407"/>
      <c r="AL10" s="406"/>
      <c r="AM10" s="406"/>
      <c r="AN10" s="405"/>
      <c r="AO10" s="405"/>
      <c r="AP10" s="410"/>
      <c r="AQ10" s="411"/>
      <c r="AR10" s="415"/>
      <c r="AS10" s="415"/>
      <c r="AT10" s="415"/>
      <c r="AU10" s="415"/>
      <c r="AZ10" s="352"/>
      <c r="BA10" s="353"/>
      <c r="BB10" s="353"/>
      <c r="BC10" s="353"/>
      <c r="BD10" s="353"/>
      <c r="BE10" s="355"/>
    </row>
    <row r="11" spans="1:73" ht="9" customHeight="1">
      <c r="A11" s="416">
        <f>AN11</f>
        <v>3</v>
      </c>
      <c r="B11" s="417" t="str">
        <f>'時間表'!U24</f>
        <v>ｿﾚｽﾃﾚｰｼﾞｬ</v>
      </c>
      <c r="C11" s="418"/>
      <c r="D11" s="418"/>
      <c r="E11" s="418"/>
      <c r="F11" s="418"/>
      <c r="G11" s="419"/>
      <c r="H11" s="420"/>
      <c r="I11" s="420"/>
      <c r="J11" s="420"/>
      <c r="K11" s="420"/>
      <c r="L11" s="420"/>
      <c r="M11" s="421"/>
      <c r="N11" s="424" t="str">
        <f>IF(O11="","",IF(O11&gt;R11,"○",IF(O11&lt;R11,"●","△")))</f>
        <v>●</v>
      </c>
      <c r="O11" s="351">
        <f>IF('時間表'!D47="","",'時間表'!D47)</f>
        <v>1</v>
      </c>
      <c r="P11" s="351"/>
      <c r="Q11" s="67"/>
      <c r="R11" s="351">
        <f>IF('時間表'!F47="","",'時間表'!F47)</f>
        <v>3</v>
      </c>
      <c r="S11" s="351"/>
      <c r="T11" s="424" t="str">
        <f>IF(U11="","",IF(U11&gt;X11,"○",IF(U11&lt;X11,"●","△")))</f>
        <v>●</v>
      </c>
      <c r="U11" s="351">
        <f>IF('時間表'!D49="","",'時間表'!D49)</f>
        <v>0</v>
      </c>
      <c r="V11" s="351"/>
      <c r="W11" s="67"/>
      <c r="X11" s="351">
        <f>IF('時間表'!F49="","",'時間表'!F49)</f>
        <v>1</v>
      </c>
      <c r="Y11" s="351"/>
      <c r="Z11" s="429">
        <f>IF('時間表'!D47="","",COUNTIF($H11:$Y12,"○"))</f>
        <v>0</v>
      </c>
      <c r="AA11" s="430"/>
      <c r="AB11" s="429">
        <f>IF('時間表'!D47="","",COUNTIF($H11:$Y12,"△"))</f>
        <v>0</v>
      </c>
      <c r="AC11" s="430"/>
      <c r="AD11" s="429">
        <f>IF('時間表'!D47="","",COUNTIF($H11:$Y12,"●"))</f>
        <v>2</v>
      </c>
      <c r="AE11" s="430"/>
      <c r="AF11" s="412">
        <f>_xlfn.IFERROR(Z11*3+AB11,"")</f>
        <v>0</v>
      </c>
      <c r="AG11" s="412"/>
      <c r="AH11" s="446">
        <f>_xlfn.IFERROR(O11+U11,"")</f>
        <v>1</v>
      </c>
      <c r="AI11" s="447"/>
      <c r="AJ11" s="412">
        <f>_xlfn.IFERROR(R11+X11,"")</f>
        <v>4</v>
      </c>
      <c r="AK11" s="412"/>
      <c r="AL11" s="444">
        <f>_xlfn.IFERROR(AH11-AJ11,"")</f>
        <v>-3</v>
      </c>
      <c r="AM11" s="445"/>
      <c r="AN11" s="412">
        <f>IF('時間表'!D47="","",RANK(AU11,$AU$11:$AU$16,1))</f>
        <v>3</v>
      </c>
      <c r="AO11" s="412"/>
      <c r="AP11" s="311">
        <f>_xlfn.IFERROR(AZ11,"")</f>
        <v>6</v>
      </c>
      <c r="AQ11" s="311"/>
      <c r="AR11" s="414">
        <f>_xlfn.IFERROR(100*RANK(AF11,AF11:AG16,0),"")</f>
        <v>300</v>
      </c>
      <c r="AS11" s="414">
        <f>_xlfn.IFERROR(10*RANK(AL11,AL11:AM16,0),"")</f>
        <v>30</v>
      </c>
      <c r="AT11" s="414">
        <f>_xlfn.IFERROR(RANK(AH11,AH11:AI16,0),"")</f>
        <v>3</v>
      </c>
      <c r="AU11" s="414">
        <f>_xlfn.IFERROR(SUM(AR11:AT12),"")</f>
        <v>333</v>
      </c>
      <c r="AZ11" s="278">
        <f>VLOOKUP(BA11,BT11:BU22,2,0)</f>
        <v>6</v>
      </c>
      <c r="BA11" s="407" t="str">
        <f>B11</f>
        <v>ｿﾚｽﾃﾚｰｼﾞｬ</v>
      </c>
      <c r="BB11" s="407"/>
      <c r="BC11" s="407"/>
      <c r="BD11" s="407"/>
      <c r="BE11" s="407"/>
      <c r="BJ11" s="375" t="str">
        <f>G27</f>
        <v>野　畑</v>
      </c>
      <c r="BK11" s="375"/>
      <c r="BL11" s="375"/>
      <c r="BM11" s="375"/>
      <c r="BN11" s="376" t="str">
        <f>IF(L27&gt;L30,"1",IF(L27&lt;L30,"2","0"))</f>
        <v>1</v>
      </c>
      <c r="BO11" s="376"/>
      <c r="BP11" s="375" t="str">
        <f>IF(N27&gt;N30,"1",IF(N27&lt;N30,"2","0"))</f>
        <v>0</v>
      </c>
      <c r="BQ11" s="375"/>
      <c r="BR11" s="375">
        <f>BN11+BP11</f>
        <v>1</v>
      </c>
      <c r="BS11" s="375"/>
      <c r="BT11" s="377" t="str">
        <f>BJ11</f>
        <v>野　畑</v>
      </c>
      <c r="BU11" s="377">
        <f>BR11</f>
        <v>1</v>
      </c>
    </row>
    <row r="12" spans="1:73" ht="9" customHeight="1">
      <c r="A12" s="416"/>
      <c r="B12" s="417"/>
      <c r="C12" s="418"/>
      <c r="D12" s="418"/>
      <c r="E12" s="418"/>
      <c r="F12" s="418"/>
      <c r="G12" s="419"/>
      <c r="H12" s="422"/>
      <c r="I12" s="422"/>
      <c r="J12" s="353"/>
      <c r="K12" s="422"/>
      <c r="L12" s="422"/>
      <c r="M12" s="423"/>
      <c r="N12" s="425"/>
      <c r="O12" s="353"/>
      <c r="P12" s="353"/>
      <c r="Q12" s="68"/>
      <c r="R12" s="353"/>
      <c r="S12" s="353"/>
      <c r="T12" s="425"/>
      <c r="U12" s="353"/>
      <c r="V12" s="353"/>
      <c r="W12" s="68"/>
      <c r="X12" s="353"/>
      <c r="Y12" s="353"/>
      <c r="Z12" s="431"/>
      <c r="AA12" s="432"/>
      <c r="AB12" s="431"/>
      <c r="AC12" s="432"/>
      <c r="AD12" s="431"/>
      <c r="AE12" s="432"/>
      <c r="AF12" s="412"/>
      <c r="AG12" s="412"/>
      <c r="AH12" s="448"/>
      <c r="AI12" s="449"/>
      <c r="AJ12" s="412"/>
      <c r="AK12" s="412"/>
      <c r="AL12" s="444"/>
      <c r="AM12" s="445"/>
      <c r="AN12" s="412"/>
      <c r="AO12" s="412"/>
      <c r="AP12" s="311"/>
      <c r="AQ12" s="311"/>
      <c r="AR12" s="414"/>
      <c r="AS12" s="414"/>
      <c r="AT12" s="414"/>
      <c r="AU12" s="414"/>
      <c r="AZ12" s="278"/>
      <c r="BA12" s="407"/>
      <c r="BB12" s="407"/>
      <c r="BC12" s="407"/>
      <c r="BD12" s="407"/>
      <c r="BE12" s="407"/>
      <c r="BJ12" s="375"/>
      <c r="BK12" s="375"/>
      <c r="BL12" s="375"/>
      <c r="BM12" s="375"/>
      <c r="BN12" s="376"/>
      <c r="BO12" s="376"/>
      <c r="BP12" s="375"/>
      <c r="BQ12" s="375"/>
      <c r="BR12" s="375"/>
      <c r="BS12" s="375"/>
      <c r="BT12" s="377"/>
      <c r="BU12" s="377"/>
    </row>
    <row r="13" spans="1:73" ht="9" customHeight="1">
      <c r="A13" s="416">
        <f>AN13</f>
        <v>1</v>
      </c>
      <c r="B13" s="352" t="str">
        <f>'時間表'!U25</f>
        <v>野　畑</v>
      </c>
      <c r="C13" s="353"/>
      <c r="D13" s="433"/>
      <c r="E13" s="434"/>
      <c r="F13" s="353"/>
      <c r="G13" s="355"/>
      <c r="H13" s="435" t="str">
        <f>IF(I13="","",IF(I13&gt;L13,"○",IF(I13&lt;L13,"●","△")))</f>
        <v>○</v>
      </c>
      <c r="I13" s="436">
        <f>R11</f>
        <v>3</v>
      </c>
      <c r="J13" s="437"/>
      <c r="K13" s="23"/>
      <c r="L13" s="437">
        <f>O11</f>
        <v>1</v>
      </c>
      <c r="M13" s="438"/>
      <c r="N13" s="439"/>
      <c r="O13" s="422"/>
      <c r="P13" s="440"/>
      <c r="Q13" s="441"/>
      <c r="R13" s="441"/>
      <c r="S13" s="441"/>
      <c r="T13" s="424" t="str">
        <f>IF(U13="","",IF(U13&gt;X13,"○",IF(U13&lt;X13,"●","△")))</f>
        <v>○</v>
      </c>
      <c r="U13" s="351">
        <f>IF('時間表'!D51="","",'時間表'!D51)</f>
        <v>2</v>
      </c>
      <c r="V13" s="351"/>
      <c r="W13" s="67"/>
      <c r="X13" s="351">
        <f>IF('時間表'!F51="","",'時間表'!F51)</f>
        <v>1</v>
      </c>
      <c r="Y13" s="351"/>
      <c r="Z13" s="429">
        <f>IF('時間表'!F47="","",COUNTIF($H13:$Y14,"○"))</f>
        <v>2</v>
      </c>
      <c r="AA13" s="430"/>
      <c r="AB13" s="429">
        <f>IF('時間表'!F47="","",COUNTIF($H13:$Y14,"△"))</f>
        <v>0</v>
      </c>
      <c r="AC13" s="430"/>
      <c r="AD13" s="429">
        <f>IF('時間表'!F47="","",COUNTIF($H13:$Y14,"●"))</f>
        <v>0</v>
      </c>
      <c r="AE13" s="430"/>
      <c r="AF13" s="412">
        <f>_xlfn.IFERROR(Z13*3+AB13,"")</f>
        <v>6</v>
      </c>
      <c r="AG13" s="412"/>
      <c r="AH13" s="446">
        <f>_xlfn.IFERROR(I13+U13,"")</f>
        <v>5</v>
      </c>
      <c r="AI13" s="447"/>
      <c r="AJ13" s="412">
        <f>_xlfn.IFERROR(L13+X13,"")</f>
        <v>2</v>
      </c>
      <c r="AK13" s="412"/>
      <c r="AL13" s="444">
        <f>_xlfn.IFERROR(AH13-AJ13,"")</f>
        <v>3</v>
      </c>
      <c r="AM13" s="445"/>
      <c r="AN13" s="412">
        <f>IF('時間表'!F47="","",RANK(AU13,$AU$11:$AU$16,1))</f>
        <v>1</v>
      </c>
      <c r="AO13" s="412"/>
      <c r="AP13" s="311">
        <f>_xlfn.IFERROR(AZ13,"")</f>
        <v>1</v>
      </c>
      <c r="AQ13" s="311"/>
      <c r="AR13" s="414">
        <f>_xlfn.IFERROR(100*RANK(AF13,AF11:AG16,0),"")</f>
        <v>100</v>
      </c>
      <c r="AS13" s="414">
        <f>_xlfn.IFERROR(10*RANK(AL13,AL11:AM16,0),"")</f>
        <v>10</v>
      </c>
      <c r="AT13" s="414">
        <f>_xlfn.IFERROR(RANK(AH13,AH11:AI16,0),"")</f>
        <v>1</v>
      </c>
      <c r="AU13" s="414">
        <f>_xlfn.IFERROR(SUM(AR13:AT14),"")</f>
        <v>111</v>
      </c>
      <c r="AZ13" s="278">
        <f>VLOOKUP(BA13,BT11:BU22,2,0)</f>
        <v>1</v>
      </c>
      <c r="BA13" s="407" t="str">
        <f>B13</f>
        <v>野　畑</v>
      </c>
      <c r="BB13" s="407"/>
      <c r="BC13" s="407"/>
      <c r="BD13" s="407"/>
      <c r="BE13" s="407"/>
      <c r="BJ13" s="375" t="str">
        <f>G30</f>
        <v>ひじり</v>
      </c>
      <c r="BK13" s="375"/>
      <c r="BL13" s="375"/>
      <c r="BM13" s="375"/>
      <c r="BN13" s="376" t="str">
        <f>IF(L27&gt;L30,"2",IF(L27&lt;L30,"1","0"))</f>
        <v>2</v>
      </c>
      <c r="BO13" s="376"/>
      <c r="BP13" s="375" t="str">
        <f>IF(N27&gt;N30,"2",IF(N27&lt;N30,"1","0"))</f>
        <v>0</v>
      </c>
      <c r="BQ13" s="375"/>
      <c r="BR13" s="375">
        <f>BN13+BP13</f>
        <v>2</v>
      </c>
      <c r="BS13" s="375"/>
      <c r="BT13" s="377" t="str">
        <f>BJ13</f>
        <v>ひじり</v>
      </c>
      <c r="BU13" s="377">
        <f>BR13</f>
        <v>2</v>
      </c>
    </row>
    <row r="14" spans="1:73" ht="9" customHeight="1">
      <c r="A14" s="416"/>
      <c r="B14" s="417"/>
      <c r="C14" s="418"/>
      <c r="D14" s="426"/>
      <c r="E14" s="427"/>
      <c r="F14" s="418"/>
      <c r="G14" s="419"/>
      <c r="H14" s="425"/>
      <c r="I14" s="434"/>
      <c r="J14" s="353"/>
      <c r="K14" s="68"/>
      <c r="L14" s="353"/>
      <c r="M14" s="355"/>
      <c r="N14" s="442"/>
      <c r="O14" s="441"/>
      <c r="P14" s="443"/>
      <c r="Q14" s="441"/>
      <c r="R14" s="441"/>
      <c r="S14" s="441"/>
      <c r="T14" s="425"/>
      <c r="U14" s="353"/>
      <c r="V14" s="353"/>
      <c r="W14" s="68"/>
      <c r="X14" s="353"/>
      <c r="Y14" s="353"/>
      <c r="Z14" s="431"/>
      <c r="AA14" s="432"/>
      <c r="AB14" s="431"/>
      <c r="AC14" s="432"/>
      <c r="AD14" s="431"/>
      <c r="AE14" s="432"/>
      <c r="AF14" s="412"/>
      <c r="AG14" s="412"/>
      <c r="AH14" s="448"/>
      <c r="AI14" s="449"/>
      <c r="AJ14" s="412"/>
      <c r="AK14" s="412"/>
      <c r="AL14" s="444"/>
      <c r="AM14" s="445"/>
      <c r="AN14" s="412"/>
      <c r="AO14" s="412"/>
      <c r="AP14" s="311"/>
      <c r="AQ14" s="311"/>
      <c r="AR14" s="414"/>
      <c r="AS14" s="414"/>
      <c r="AT14" s="414"/>
      <c r="AU14" s="414"/>
      <c r="AZ14" s="278"/>
      <c r="BA14" s="407"/>
      <c r="BB14" s="407"/>
      <c r="BC14" s="407"/>
      <c r="BD14" s="407"/>
      <c r="BE14" s="407"/>
      <c r="BJ14" s="375"/>
      <c r="BK14" s="375"/>
      <c r="BL14" s="375"/>
      <c r="BM14" s="375"/>
      <c r="BN14" s="376"/>
      <c r="BO14" s="376"/>
      <c r="BP14" s="375"/>
      <c r="BQ14" s="375"/>
      <c r="BR14" s="375"/>
      <c r="BS14" s="375"/>
      <c r="BT14" s="377"/>
      <c r="BU14" s="377"/>
    </row>
    <row r="15" spans="1:73" ht="9" customHeight="1">
      <c r="A15" s="416">
        <f>AN15</f>
        <v>2</v>
      </c>
      <c r="B15" s="417" t="str">
        <f>'時間表'!U27</f>
        <v>大　原</v>
      </c>
      <c r="C15" s="418"/>
      <c r="D15" s="426"/>
      <c r="E15" s="427"/>
      <c r="F15" s="418"/>
      <c r="G15" s="419"/>
      <c r="H15" s="424" t="str">
        <f>IF(I15="","",IF(I15&gt;L15,"○",IF(I15&lt;L15,"●","△")))</f>
        <v>○</v>
      </c>
      <c r="I15" s="428">
        <f>X11</f>
        <v>1</v>
      </c>
      <c r="J15" s="351"/>
      <c r="K15" s="67"/>
      <c r="L15" s="351">
        <f>U11</f>
        <v>0</v>
      </c>
      <c r="M15" s="354"/>
      <c r="N15" s="424" t="str">
        <f>IF(O15="","",IF(O15&gt;R15,"○",IF(O15&lt;R15,"●","△")))</f>
        <v>●</v>
      </c>
      <c r="O15" s="351">
        <f>X13</f>
        <v>1</v>
      </c>
      <c r="P15" s="450"/>
      <c r="Q15" s="67"/>
      <c r="R15" s="351">
        <f>U13</f>
        <v>2</v>
      </c>
      <c r="S15" s="354"/>
      <c r="T15" s="442"/>
      <c r="U15" s="441"/>
      <c r="V15" s="441"/>
      <c r="W15" s="441"/>
      <c r="X15" s="441"/>
      <c r="Y15" s="451"/>
      <c r="Z15" s="429">
        <f>IF('時間表'!F49="","",COUNTIF($H15:$Y16,"○"))</f>
        <v>1</v>
      </c>
      <c r="AA15" s="430"/>
      <c r="AB15" s="429">
        <f>IF('時間表'!F49="","",COUNTIF($H15:$Y16,"△"))</f>
        <v>0</v>
      </c>
      <c r="AC15" s="430"/>
      <c r="AD15" s="429">
        <f>IF('時間表'!F49="","",COUNTIF($H15:$Y16,"●"))</f>
        <v>1</v>
      </c>
      <c r="AE15" s="430"/>
      <c r="AF15" s="412">
        <f>_xlfn.IFERROR(Z15*3+AB15,"")</f>
        <v>3</v>
      </c>
      <c r="AG15" s="412"/>
      <c r="AH15" s="446">
        <f>_xlfn.IFERROR(O15+I15,"")</f>
        <v>2</v>
      </c>
      <c r="AI15" s="447"/>
      <c r="AJ15" s="412">
        <f>_xlfn.IFERROR(R15+L15,"")</f>
        <v>2</v>
      </c>
      <c r="AK15" s="412"/>
      <c r="AL15" s="444">
        <f>_xlfn.IFERROR(AH15-AJ15,"")</f>
        <v>0</v>
      </c>
      <c r="AM15" s="445"/>
      <c r="AN15" s="412">
        <f>IF('時間表'!F49="","",RANK(AU15,$AU$11:$AU$16,1))</f>
        <v>2</v>
      </c>
      <c r="AO15" s="412"/>
      <c r="AP15" s="311">
        <f>_xlfn.IFERROR(AZ15,"")</f>
        <v>4</v>
      </c>
      <c r="AQ15" s="311"/>
      <c r="AR15" s="414">
        <f>_xlfn.IFERROR(100*RANK(AF15,AF11:AG16,0),"")</f>
        <v>200</v>
      </c>
      <c r="AS15" s="414">
        <f>_xlfn.IFERROR(10*RANK(AL15,AL11:AM16,0),"")</f>
        <v>20</v>
      </c>
      <c r="AT15" s="414">
        <f>_xlfn.IFERROR(RANK(AH15,AH11:AI16,0),"")</f>
        <v>2</v>
      </c>
      <c r="AU15" s="414">
        <f>_xlfn.IFERROR(SUM(AR15:AT16),"")</f>
        <v>222</v>
      </c>
      <c r="AZ15" s="278">
        <f>VLOOKUP(BA15,BT11:BU22,2,0)</f>
        <v>4</v>
      </c>
      <c r="BA15" s="407" t="str">
        <f>B15</f>
        <v>大　原</v>
      </c>
      <c r="BB15" s="407"/>
      <c r="BC15" s="407"/>
      <c r="BD15" s="407"/>
      <c r="BE15" s="407"/>
      <c r="BJ15" s="375" t="str">
        <f>U27</f>
        <v>大　原</v>
      </c>
      <c r="BK15" s="375"/>
      <c r="BL15" s="375"/>
      <c r="BM15" s="375"/>
      <c r="BN15" s="376" t="str">
        <f>IF(Z27&gt;Z30,"3",IF(Z27&lt;Z30,"4","0"))</f>
        <v>4</v>
      </c>
      <c r="BO15" s="376"/>
      <c r="BP15" s="375" t="str">
        <f>IF(AB27&gt;AB30,"3",IF(AB27&lt;AB30,"4","0"))</f>
        <v>0</v>
      </c>
      <c r="BQ15" s="375"/>
      <c r="BR15" s="375">
        <f>BN15+BP15</f>
        <v>4</v>
      </c>
      <c r="BS15" s="375"/>
      <c r="BT15" s="377" t="str">
        <f>BJ15</f>
        <v>大　原</v>
      </c>
      <c r="BU15" s="377">
        <f>BR15</f>
        <v>4</v>
      </c>
    </row>
    <row r="16" spans="1:73" ht="9" customHeight="1">
      <c r="A16" s="416"/>
      <c r="B16" s="417"/>
      <c r="C16" s="418"/>
      <c r="D16" s="418"/>
      <c r="E16" s="418"/>
      <c r="F16" s="418"/>
      <c r="G16" s="419"/>
      <c r="H16" s="425"/>
      <c r="I16" s="353"/>
      <c r="J16" s="353"/>
      <c r="K16" s="68"/>
      <c r="L16" s="353"/>
      <c r="M16" s="355"/>
      <c r="N16" s="425"/>
      <c r="O16" s="353"/>
      <c r="P16" s="353"/>
      <c r="Q16" s="68"/>
      <c r="R16" s="353"/>
      <c r="S16" s="355"/>
      <c r="T16" s="442"/>
      <c r="U16" s="441"/>
      <c r="V16" s="441"/>
      <c r="W16" s="441"/>
      <c r="X16" s="441"/>
      <c r="Y16" s="451"/>
      <c r="Z16" s="431"/>
      <c r="AA16" s="432"/>
      <c r="AB16" s="431"/>
      <c r="AC16" s="432"/>
      <c r="AD16" s="431"/>
      <c r="AE16" s="432"/>
      <c r="AF16" s="412"/>
      <c r="AG16" s="412"/>
      <c r="AH16" s="448"/>
      <c r="AI16" s="449"/>
      <c r="AJ16" s="412"/>
      <c r="AK16" s="412"/>
      <c r="AL16" s="444"/>
      <c r="AM16" s="445"/>
      <c r="AN16" s="412"/>
      <c r="AO16" s="412"/>
      <c r="AP16" s="311"/>
      <c r="AQ16" s="311"/>
      <c r="AR16" s="414"/>
      <c r="AS16" s="414"/>
      <c r="AT16" s="414"/>
      <c r="AU16" s="414"/>
      <c r="AZ16" s="278"/>
      <c r="BA16" s="407"/>
      <c r="BB16" s="407"/>
      <c r="BC16" s="407"/>
      <c r="BD16" s="407"/>
      <c r="BE16" s="407"/>
      <c r="BJ16" s="375"/>
      <c r="BK16" s="375"/>
      <c r="BL16" s="375"/>
      <c r="BM16" s="375"/>
      <c r="BN16" s="376"/>
      <c r="BO16" s="376"/>
      <c r="BP16" s="375"/>
      <c r="BQ16" s="375"/>
      <c r="BR16" s="375"/>
      <c r="BS16" s="375"/>
      <c r="BT16" s="377"/>
      <c r="BU16" s="377"/>
    </row>
    <row r="17" spans="2:73" ht="9" customHeight="1"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3"/>
      <c r="Q17" s="22"/>
      <c r="R17" s="22"/>
      <c r="S17" s="22"/>
      <c r="T17" s="22"/>
      <c r="U17" s="22"/>
      <c r="V17" s="23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4"/>
      <c r="AI17" s="24"/>
      <c r="AJ17" s="24"/>
      <c r="AK17" s="24"/>
      <c r="AL17" s="22"/>
      <c r="AM17" s="22"/>
      <c r="AN17" s="22"/>
      <c r="AO17" s="22"/>
      <c r="AR17" s="25"/>
      <c r="AS17" s="25"/>
      <c r="AT17" s="25"/>
      <c r="AU17" s="25"/>
      <c r="AZ17" s="278">
        <f>VLOOKUP(BA17,BT11:BU22,2,0)</f>
        <v>5</v>
      </c>
      <c r="BA17" s="407" t="str">
        <f>B20</f>
        <v>六　条</v>
      </c>
      <c r="BB17" s="407"/>
      <c r="BC17" s="407"/>
      <c r="BD17" s="407"/>
      <c r="BE17" s="407"/>
      <c r="BJ17" s="375" t="str">
        <f>U30</f>
        <v>桜　井</v>
      </c>
      <c r="BK17" s="375"/>
      <c r="BL17" s="375"/>
      <c r="BM17" s="375"/>
      <c r="BN17" s="376" t="str">
        <f>IF(Z27&gt;Z30,"4",IF(Z27&lt;Z30,"3","0"))</f>
        <v>3</v>
      </c>
      <c r="BO17" s="376"/>
      <c r="BP17" s="375" t="str">
        <f>IF(AB27&gt;AB30,"4",IF(AB27&lt;AB30,"3","0"))</f>
        <v>0</v>
      </c>
      <c r="BQ17" s="375"/>
      <c r="BR17" s="375">
        <f>BN17+BP17</f>
        <v>3</v>
      </c>
      <c r="BS17" s="375"/>
      <c r="BT17" s="377" t="str">
        <f>BJ17</f>
        <v>桜　井</v>
      </c>
      <c r="BU17" s="377">
        <f>BR17</f>
        <v>3</v>
      </c>
    </row>
    <row r="18" spans="2:73" ht="9" customHeight="1">
      <c r="B18" s="283" t="str">
        <f>B9</f>
        <v>G</v>
      </c>
      <c r="C18" s="284"/>
      <c r="D18" s="287" t="s">
        <v>80</v>
      </c>
      <c r="E18" s="287"/>
      <c r="F18" s="287"/>
      <c r="G18" s="288"/>
      <c r="H18" s="407" t="str">
        <f>B20</f>
        <v>六　条</v>
      </c>
      <c r="I18" s="407"/>
      <c r="J18" s="407"/>
      <c r="K18" s="407"/>
      <c r="L18" s="407"/>
      <c r="M18" s="407"/>
      <c r="N18" s="407" t="str">
        <f>B22</f>
        <v>桜　井</v>
      </c>
      <c r="O18" s="407"/>
      <c r="P18" s="407"/>
      <c r="Q18" s="407"/>
      <c r="R18" s="407"/>
      <c r="S18" s="407"/>
      <c r="T18" s="407" t="str">
        <f>B24</f>
        <v>ひじり</v>
      </c>
      <c r="U18" s="407"/>
      <c r="V18" s="407"/>
      <c r="W18" s="407"/>
      <c r="X18" s="407"/>
      <c r="Y18" s="407"/>
      <c r="Z18" s="404" t="s">
        <v>62</v>
      </c>
      <c r="AA18" s="404"/>
      <c r="AB18" s="404" t="s">
        <v>63</v>
      </c>
      <c r="AC18" s="404"/>
      <c r="AD18" s="404" t="s">
        <v>64</v>
      </c>
      <c r="AE18" s="404"/>
      <c r="AF18" s="404" t="s">
        <v>67</v>
      </c>
      <c r="AG18" s="404"/>
      <c r="AH18" s="404" t="s">
        <v>65</v>
      </c>
      <c r="AI18" s="404"/>
      <c r="AJ18" s="407" t="s">
        <v>69</v>
      </c>
      <c r="AK18" s="407"/>
      <c r="AL18" s="404" t="s">
        <v>66</v>
      </c>
      <c r="AM18" s="404"/>
      <c r="AN18" s="404" t="s">
        <v>68</v>
      </c>
      <c r="AO18" s="404"/>
      <c r="AP18" s="408" t="s">
        <v>83</v>
      </c>
      <c r="AQ18" s="409"/>
      <c r="AR18" s="415" t="s">
        <v>57</v>
      </c>
      <c r="AS18" s="415" t="s">
        <v>59</v>
      </c>
      <c r="AT18" s="415" t="s">
        <v>58</v>
      </c>
      <c r="AU18" s="415" t="s">
        <v>60</v>
      </c>
      <c r="AZ18" s="278"/>
      <c r="BA18" s="407"/>
      <c r="BB18" s="407"/>
      <c r="BC18" s="407"/>
      <c r="BD18" s="407"/>
      <c r="BE18" s="407"/>
      <c r="BJ18" s="375"/>
      <c r="BK18" s="375"/>
      <c r="BL18" s="375"/>
      <c r="BM18" s="375"/>
      <c r="BN18" s="376"/>
      <c r="BO18" s="376"/>
      <c r="BP18" s="375"/>
      <c r="BQ18" s="375"/>
      <c r="BR18" s="375"/>
      <c r="BS18" s="375"/>
      <c r="BT18" s="377"/>
      <c r="BU18" s="377"/>
    </row>
    <row r="19" spans="2:73" ht="9" customHeight="1">
      <c r="B19" s="285"/>
      <c r="C19" s="286"/>
      <c r="D19" s="289"/>
      <c r="E19" s="289"/>
      <c r="F19" s="289"/>
      <c r="G19" s="290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6"/>
      <c r="AA19" s="406"/>
      <c r="AB19" s="406"/>
      <c r="AC19" s="406"/>
      <c r="AD19" s="406"/>
      <c r="AE19" s="406"/>
      <c r="AF19" s="405"/>
      <c r="AG19" s="405"/>
      <c r="AH19" s="406"/>
      <c r="AI19" s="406"/>
      <c r="AJ19" s="407"/>
      <c r="AK19" s="407"/>
      <c r="AL19" s="406"/>
      <c r="AM19" s="406"/>
      <c r="AN19" s="405"/>
      <c r="AO19" s="405"/>
      <c r="AP19" s="410"/>
      <c r="AQ19" s="411"/>
      <c r="AR19" s="415"/>
      <c r="AS19" s="415"/>
      <c r="AT19" s="415"/>
      <c r="AU19" s="415"/>
      <c r="AZ19" s="278">
        <f>VLOOKUP(BA19,BT11:BU22,2,0)</f>
        <v>3</v>
      </c>
      <c r="BA19" s="407" t="str">
        <f>B22</f>
        <v>桜　井</v>
      </c>
      <c r="BB19" s="407"/>
      <c r="BC19" s="407"/>
      <c r="BD19" s="407"/>
      <c r="BE19" s="407"/>
      <c r="BJ19" s="375" t="str">
        <f>AI27</f>
        <v>ｿﾚｽﾃﾚｰｼﾞｬ</v>
      </c>
      <c r="BK19" s="375"/>
      <c r="BL19" s="375"/>
      <c r="BM19" s="375"/>
      <c r="BN19" s="376" t="str">
        <f>IF(AN27&gt;AN30,"5",IF(AN27&lt;AN30,"6","0"))</f>
        <v>0</v>
      </c>
      <c r="BO19" s="376"/>
      <c r="BP19" s="375" t="str">
        <f>IF(AP27&gt;AP30,"5",IF(AP27&lt;AP30,"6","0"))</f>
        <v>6</v>
      </c>
      <c r="BQ19" s="375"/>
      <c r="BR19" s="375">
        <f>BN19+BP19</f>
        <v>6</v>
      </c>
      <c r="BS19" s="375"/>
      <c r="BT19" s="377" t="str">
        <f>BJ19</f>
        <v>ｿﾚｽﾃﾚｰｼﾞｬ</v>
      </c>
      <c r="BU19" s="377">
        <f>BR19</f>
        <v>6</v>
      </c>
    </row>
    <row r="20" spans="1:73" ht="9" customHeight="1">
      <c r="A20" s="416">
        <f>AN20</f>
        <v>3</v>
      </c>
      <c r="B20" s="417" t="str">
        <f>'時間表'!U29</f>
        <v>六　条</v>
      </c>
      <c r="C20" s="418"/>
      <c r="D20" s="418"/>
      <c r="E20" s="418"/>
      <c r="F20" s="418"/>
      <c r="G20" s="419"/>
      <c r="H20" s="453"/>
      <c r="I20" s="453"/>
      <c r="J20" s="453"/>
      <c r="K20" s="453"/>
      <c r="L20" s="453"/>
      <c r="M20" s="454"/>
      <c r="N20" s="424" t="str">
        <f>IF(O20="","",IF(O20&gt;R20,"○",IF(O20&lt;R20,"●","△")))</f>
        <v>●</v>
      </c>
      <c r="O20" s="351">
        <f>IF('時間表'!D48="","",'時間表'!D48)</f>
        <v>0</v>
      </c>
      <c r="P20" s="351"/>
      <c r="Q20" s="67"/>
      <c r="R20" s="351">
        <f>IF('時間表'!F48="","",'時間表'!F48)</f>
        <v>2</v>
      </c>
      <c r="S20" s="351"/>
      <c r="T20" s="424" t="str">
        <f>IF(U20="","",IF(U20&gt;X20,"○",IF(U20&lt;X20,"●","△")))</f>
        <v>●</v>
      </c>
      <c r="U20" s="351">
        <f>IF('時間表'!D50="","",'時間表'!D50)</f>
        <v>1</v>
      </c>
      <c r="V20" s="351"/>
      <c r="W20" s="67"/>
      <c r="X20" s="351">
        <f>IF('時間表'!F50="","",'時間表'!F50)</f>
        <v>4</v>
      </c>
      <c r="Y20" s="351"/>
      <c r="Z20" s="267">
        <f>IF('時間表'!D48="","",COUNTIF($H20:$Y21,"○"))</f>
        <v>0</v>
      </c>
      <c r="AA20" s="268"/>
      <c r="AB20" s="267">
        <f>IF('時間表'!D48="","",COUNTIF($H20:$Y21,"△"))</f>
        <v>0</v>
      </c>
      <c r="AC20" s="268"/>
      <c r="AD20" s="267">
        <f>IF('時間表'!D48="","",COUNTIF($H20:$Y21,"●"))</f>
        <v>2</v>
      </c>
      <c r="AE20" s="268"/>
      <c r="AF20" s="260">
        <f>_xlfn.IFERROR(Z20*3+AB20,"")</f>
        <v>0</v>
      </c>
      <c r="AG20" s="260"/>
      <c r="AH20" s="256">
        <f>_xlfn.IFERROR(O20+U20,"")</f>
        <v>1</v>
      </c>
      <c r="AI20" s="257"/>
      <c r="AJ20" s="260">
        <f>_xlfn.IFERROR(R20+X20,"")</f>
        <v>6</v>
      </c>
      <c r="AK20" s="260"/>
      <c r="AL20" s="279">
        <f>_xlfn.IFERROR(AH20-AJ20,"")</f>
        <v>-5</v>
      </c>
      <c r="AM20" s="280"/>
      <c r="AN20" s="260">
        <f>IF('時間表'!D48="","",RANK(AU20,$AU$20:$AU$25,1))</f>
        <v>3</v>
      </c>
      <c r="AO20" s="260"/>
      <c r="AP20" s="311">
        <f>_xlfn.IFERROR(AZ17,"")</f>
        <v>5</v>
      </c>
      <c r="AQ20" s="311"/>
      <c r="AR20" s="414">
        <f>_xlfn.IFERROR(100*RANK(AF20,AF20:AG25,0),"")</f>
        <v>300</v>
      </c>
      <c r="AS20" s="414">
        <f>_xlfn.IFERROR(10*RANK(AL20,AL20:AM25,0),"")</f>
        <v>30</v>
      </c>
      <c r="AT20" s="414">
        <f>_xlfn.IFERROR(RANK(AH20,AH20:AI25,0),"")</f>
        <v>3</v>
      </c>
      <c r="AU20" s="414">
        <f>_xlfn.IFERROR(SUM(AR20:AT21),"")</f>
        <v>333</v>
      </c>
      <c r="AZ20" s="278"/>
      <c r="BA20" s="407"/>
      <c r="BB20" s="407"/>
      <c r="BC20" s="407"/>
      <c r="BD20" s="407"/>
      <c r="BE20" s="407"/>
      <c r="BJ20" s="375"/>
      <c r="BK20" s="375"/>
      <c r="BL20" s="375"/>
      <c r="BM20" s="375"/>
      <c r="BN20" s="376"/>
      <c r="BO20" s="376"/>
      <c r="BP20" s="375"/>
      <c r="BQ20" s="375"/>
      <c r="BR20" s="375"/>
      <c r="BS20" s="375"/>
      <c r="BT20" s="377"/>
      <c r="BU20" s="377"/>
    </row>
    <row r="21" spans="1:73" ht="9" customHeight="1">
      <c r="A21" s="416"/>
      <c r="B21" s="417"/>
      <c r="C21" s="418"/>
      <c r="D21" s="418"/>
      <c r="E21" s="418"/>
      <c r="F21" s="418"/>
      <c r="G21" s="419"/>
      <c r="H21" s="422"/>
      <c r="I21" s="422"/>
      <c r="J21" s="422"/>
      <c r="K21" s="422"/>
      <c r="L21" s="422"/>
      <c r="M21" s="423"/>
      <c r="N21" s="425"/>
      <c r="O21" s="353"/>
      <c r="P21" s="353"/>
      <c r="Q21" s="68"/>
      <c r="R21" s="353"/>
      <c r="S21" s="353"/>
      <c r="T21" s="425"/>
      <c r="U21" s="353"/>
      <c r="V21" s="353"/>
      <c r="W21" s="68"/>
      <c r="X21" s="353"/>
      <c r="Y21" s="353"/>
      <c r="Z21" s="269"/>
      <c r="AA21" s="270"/>
      <c r="AB21" s="269"/>
      <c r="AC21" s="270"/>
      <c r="AD21" s="269"/>
      <c r="AE21" s="270"/>
      <c r="AF21" s="260"/>
      <c r="AG21" s="260"/>
      <c r="AH21" s="258"/>
      <c r="AI21" s="259"/>
      <c r="AJ21" s="260"/>
      <c r="AK21" s="260"/>
      <c r="AL21" s="279"/>
      <c r="AM21" s="280"/>
      <c r="AN21" s="260"/>
      <c r="AO21" s="260"/>
      <c r="AP21" s="311"/>
      <c r="AQ21" s="311"/>
      <c r="AR21" s="414"/>
      <c r="AS21" s="414"/>
      <c r="AT21" s="414"/>
      <c r="AU21" s="414"/>
      <c r="AZ21" s="278">
        <f>VLOOKUP(BA21,BT11:BU22,2,0)</f>
        <v>2</v>
      </c>
      <c r="BA21" s="407" t="str">
        <f>B24</f>
        <v>ひじり</v>
      </c>
      <c r="BB21" s="407"/>
      <c r="BC21" s="407"/>
      <c r="BD21" s="407"/>
      <c r="BE21" s="407"/>
      <c r="BJ21" s="375" t="str">
        <f>AI30</f>
        <v>六　条</v>
      </c>
      <c r="BK21" s="375"/>
      <c r="BL21" s="375"/>
      <c r="BM21" s="375"/>
      <c r="BN21" s="376" t="str">
        <f>IF(AN27&gt;AN30,"6",IF(AN27&lt;AN30,"5","0"))</f>
        <v>0</v>
      </c>
      <c r="BO21" s="376"/>
      <c r="BP21" s="375" t="str">
        <f>IF(AP27&gt;AP30,"6",IF(AP27&lt;AP30,"5","0"))</f>
        <v>5</v>
      </c>
      <c r="BQ21" s="375"/>
      <c r="BR21" s="375">
        <f>BN21+BP21</f>
        <v>5</v>
      </c>
      <c r="BS21" s="375"/>
      <c r="BT21" s="377" t="str">
        <f>BJ21</f>
        <v>六　条</v>
      </c>
      <c r="BU21" s="377">
        <f>BR21</f>
        <v>5</v>
      </c>
    </row>
    <row r="22" spans="1:73" ht="9" customHeight="1">
      <c r="A22" s="416">
        <f>AN22</f>
        <v>2</v>
      </c>
      <c r="B22" s="452" t="str">
        <f>'時間表'!U31</f>
        <v>桜　井</v>
      </c>
      <c r="C22" s="418"/>
      <c r="D22" s="418"/>
      <c r="E22" s="418"/>
      <c r="F22" s="418"/>
      <c r="G22" s="419"/>
      <c r="H22" s="424" t="str">
        <f>IF(I22="","",IF(I22&gt;L22,"○",IF(I22&lt;L22,"●","△")))</f>
        <v>○</v>
      </c>
      <c r="I22" s="351">
        <f>R20</f>
        <v>2</v>
      </c>
      <c r="J22" s="351"/>
      <c r="K22" s="67"/>
      <c r="L22" s="351">
        <f>O20</f>
        <v>0</v>
      </c>
      <c r="M22" s="354"/>
      <c r="N22" s="442"/>
      <c r="O22" s="441"/>
      <c r="P22" s="441"/>
      <c r="Q22" s="441"/>
      <c r="R22" s="441"/>
      <c r="S22" s="441"/>
      <c r="T22" s="424" t="str">
        <f>IF(U22="","",IF(U22&gt;X22,"○",IF(U22&lt;X22,"●","△")))</f>
        <v>●</v>
      </c>
      <c r="U22" s="351">
        <f>IF('時間表'!D52="","",'時間表'!D52)</f>
        <v>0</v>
      </c>
      <c r="V22" s="351"/>
      <c r="W22" s="67"/>
      <c r="X22" s="351">
        <f>IF('時間表'!F52="","",'時間表'!F52)</f>
        <v>6</v>
      </c>
      <c r="Y22" s="351"/>
      <c r="Z22" s="267">
        <f>IF('時間表'!F48="","",COUNTIF($H22:$Y23,"○"))</f>
        <v>1</v>
      </c>
      <c r="AA22" s="268"/>
      <c r="AB22" s="267">
        <f>IF('時間表'!F48="","",COUNTIF($H22:$Y23,"△"))</f>
        <v>0</v>
      </c>
      <c r="AC22" s="268"/>
      <c r="AD22" s="267">
        <f>IF('時間表'!F48="","",COUNTIF($H22:$Y23,"●"))</f>
        <v>1</v>
      </c>
      <c r="AE22" s="268"/>
      <c r="AF22" s="260">
        <f>_xlfn.IFERROR(Z22*3+AB22,"")</f>
        <v>3</v>
      </c>
      <c r="AG22" s="260"/>
      <c r="AH22" s="256">
        <f>_xlfn.IFERROR(I22+U22,"")</f>
        <v>2</v>
      </c>
      <c r="AI22" s="257"/>
      <c r="AJ22" s="260">
        <f>_xlfn.IFERROR(L22+X22,"")</f>
        <v>6</v>
      </c>
      <c r="AK22" s="260"/>
      <c r="AL22" s="279">
        <f>_xlfn.IFERROR(AH22-AJ22,"")</f>
        <v>-4</v>
      </c>
      <c r="AM22" s="280"/>
      <c r="AN22" s="260">
        <f>IF('時間表'!F48="","",RANK(AU22,$AU$20:$AU$25,1))</f>
        <v>2</v>
      </c>
      <c r="AO22" s="260"/>
      <c r="AP22" s="311">
        <f>_xlfn.IFERROR(AZ19,"")</f>
        <v>3</v>
      </c>
      <c r="AQ22" s="311"/>
      <c r="AR22" s="414">
        <f>_xlfn.IFERROR(100*RANK(AF22,AF20:AG25,0),"")</f>
        <v>200</v>
      </c>
      <c r="AS22" s="414">
        <f>_xlfn.IFERROR(10*RANK(AL22,AL20:AM25,0),"")</f>
        <v>20</v>
      </c>
      <c r="AT22" s="414">
        <f>_xlfn.IFERROR(RANK(AH22,AH20:AI25,0),"")</f>
        <v>2</v>
      </c>
      <c r="AU22" s="414">
        <f>_xlfn.IFERROR(SUM(AR22:AT23),"")</f>
        <v>222</v>
      </c>
      <c r="AZ22" s="278"/>
      <c r="BA22" s="407"/>
      <c r="BB22" s="407"/>
      <c r="BC22" s="407"/>
      <c r="BD22" s="407"/>
      <c r="BE22" s="407"/>
      <c r="BJ22" s="375"/>
      <c r="BK22" s="375"/>
      <c r="BL22" s="375"/>
      <c r="BM22" s="375"/>
      <c r="BN22" s="376"/>
      <c r="BO22" s="376"/>
      <c r="BP22" s="375"/>
      <c r="BQ22" s="375"/>
      <c r="BR22" s="375"/>
      <c r="BS22" s="375"/>
      <c r="BT22" s="377"/>
      <c r="BU22" s="377"/>
    </row>
    <row r="23" spans="1:47" ht="9" customHeight="1">
      <c r="A23" s="416"/>
      <c r="B23" s="452"/>
      <c r="C23" s="418"/>
      <c r="D23" s="418"/>
      <c r="E23" s="418"/>
      <c r="F23" s="418"/>
      <c r="G23" s="419"/>
      <c r="H23" s="425"/>
      <c r="I23" s="353"/>
      <c r="J23" s="353"/>
      <c r="K23" s="68"/>
      <c r="L23" s="353"/>
      <c r="M23" s="355"/>
      <c r="N23" s="442"/>
      <c r="O23" s="441"/>
      <c r="P23" s="441"/>
      <c r="Q23" s="441"/>
      <c r="R23" s="441"/>
      <c r="S23" s="441"/>
      <c r="T23" s="425"/>
      <c r="U23" s="353"/>
      <c r="V23" s="353"/>
      <c r="W23" s="68"/>
      <c r="X23" s="353"/>
      <c r="Y23" s="353"/>
      <c r="Z23" s="269"/>
      <c r="AA23" s="270"/>
      <c r="AB23" s="269"/>
      <c r="AC23" s="270"/>
      <c r="AD23" s="269"/>
      <c r="AE23" s="270"/>
      <c r="AF23" s="260"/>
      <c r="AG23" s="260"/>
      <c r="AH23" s="258"/>
      <c r="AI23" s="259"/>
      <c r="AJ23" s="260"/>
      <c r="AK23" s="260"/>
      <c r="AL23" s="279"/>
      <c r="AM23" s="280"/>
      <c r="AN23" s="260"/>
      <c r="AO23" s="260"/>
      <c r="AP23" s="311"/>
      <c r="AQ23" s="311"/>
      <c r="AR23" s="414"/>
      <c r="AS23" s="414"/>
      <c r="AT23" s="414"/>
      <c r="AU23" s="414"/>
    </row>
    <row r="24" spans="1:47" ht="9" customHeight="1" thickBot="1">
      <c r="A24" s="416">
        <f>AN24</f>
        <v>1</v>
      </c>
      <c r="B24" s="452" t="str">
        <f>'時間表'!U32</f>
        <v>ひじり</v>
      </c>
      <c r="C24" s="351"/>
      <c r="D24" s="351"/>
      <c r="E24" s="418"/>
      <c r="F24" s="418"/>
      <c r="G24" s="419"/>
      <c r="H24" s="424" t="str">
        <f>IF(I24="","",IF(I24&gt;L24,"○",IF(I24&lt;L24,"●","△")))</f>
        <v>○</v>
      </c>
      <c r="I24" s="351">
        <f>X20</f>
        <v>4</v>
      </c>
      <c r="J24" s="351"/>
      <c r="K24" s="67"/>
      <c r="L24" s="351">
        <f>U20</f>
        <v>1</v>
      </c>
      <c r="M24" s="354"/>
      <c r="N24" s="424" t="str">
        <f>IF(O24="","",IF(O24&gt;R24,"○",IF(O24&lt;R24,"●","△")))</f>
        <v>○</v>
      </c>
      <c r="O24" s="351">
        <f>X22</f>
        <v>6</v>
      </c>
      <c r="P24" s="351"/>
      <c r="Q24" s="67"/>
      <c r="R24" s="351">
        <f>U22</f>
        <v>0</v>
      </c>
      <c r="S24" s="354"/>
      <c r="T24" s="442"/>
      <c r="U24" s="441"/>
      <c r="V24" s="441"/>
      <c r="W24" s="441"/>
      <c r="X24" s="441"/>
      <c r="Y24" s="451"/>
      <c r="Z24" s="267">
        <f>IF('時間表'!F50="","",COUNTIF($H24:$Y25,"○"))</f>
        <v>2</v>
      </c>
      <c r="AA24" s="268"/>
      <c r="AB24" s="267">
        <f>IF('時間表'!F50="","",COUNTIF($H24:$Y25,"△"))</f>
        <v>0</v>
      </c>
      <c r="AC24" s="268"/>
      <c r="AD24" s="267">
        <f>IF('時間表'!F50="","",COUNTIF($H24:$Y25,"●"))</f>
        <v>0</v>
      </c>
      <c r="AE24" s="268"/>
      <c r="AF24" s="260">
        <f>_xlfn.IFERROR(Z24*3+AB24,"")</f>
        <v>6</v>
      </c>
      <c r="AG24" s="260"/>
      <c r="AH24" s="256">
        <f>_xlfn.IFERROR(O24+I24,"")</f>
        <v>10</v>
      </c>
      <c r="AI24" s="257"/>
      <c r="AJ24" s="260">
        <f>_xlfn.IFERROR(R24+L24,"")</f>
        <v>1</v>
      </c>
      <c r="AK24" s="260"/>
      <c r="AL24" s="279">
        <f>_xlfn.IFERROR(AH24-AJ24,"")</f>
        <v>9</v>
      </c>
      <c r="AM24" s="280"/>
      <c r="AN24" s="260">
        <f>IF('時間表'!F50="","",RANK(AU24,$AU$20:$AU$25,1))</f>
        <v>1</v>
      </c>
      <c r="AO24" s="260"/>
      <c r="AP24" s="311">
        <f>_xlfn.IFERROR(AZ21,"")</f>
        <v>2</v>
      </c>
      <c r="AQ24" s="311"/>
      <c r="AR24" s="414">
        <f>_xlfn.IFERROR(100*RANK(AF24,AF20:AG25,0),"")</f>
        <v>100</v>
      </c>
      <c r="AS24" s="414">
        <f>_xlfn.IFERROR(10*RANK(AL24,AL20:AM25,0),"")</f>
        <v>10</v>
      </c>
      <c r="AT24" s="414">
        <f>_xlfn.IFERROR(RANK(AH24,AH20:AI25,0),"")</f>
        <v>1</v>
      </c>
      <c r="AU24" s="414">
        <f>_xlfn.IFERROR(SUM(AR24:AT25),"")</f>
        <v>111</v>
      </c>
    </row>
    <row r="25" spans="1:47" ht="9" customHeight="1">
      <c r="A25" s="416"/>
      <c r="B25" s="417"/>
      <c r="C25" s="455"/>
      <c r="D25" s="455"/>
      <c r="E25" s="418"/>
      <c r="F25" s="418"/>
      <c r="G25" s="419"/>
      <c r="H25" s="425"/>
      <c r="I25" s="353"/>
      <c r="J25" s="353"/>
      <c r="K25" s="68"/>
      <c r="L25" s="455"/>
      <c r="M25" s="355"/>
      <c r="N25" s="425"/>
      <c r="O25" s="353"/>
      <c r="P25" s="353"/>
      <c r="Q25" s="68"/>
      <c r="R25" s="353"/>
      <c r="S25" s="355"/>
      <c r="T25" s="442"/>
      <c r="U25" s="441"/>
      <c r="V25" s="441"/>
      <c r="W25" s="441"/>
      <c r="X25" s="441"/>
      <c r="Y25" s="451"/>
      <c r="Z25" s="269"/>
      <c r="AA25" s="270"/>
      <c r="AB25" s="269"/>
      <c r="AC25" s="270"/>
      <c r="AD25" s="269"/>
      <c r="AE25" s="270"/>
      <c r="AF25" s="260"/>
      <c r="AG25" s="260"/>
      <c r="AH25" s="258"/>
      <c r="AI25" s="259"/>
      <c r="AJ25" s="260"/>
      <c r="AK25" s="260"/>
      <c r="AL25" s="279"/>
      <c r="AM25" s="280"/>
      <c r="AN25" s="260"/>
      <c r="AO25" s="260"/>
      <c r="AP25" s="311"/>
      <c r="AQ25" s="311"/>
      <c r="AR25" s="414"/>
      <c r="AS25" s="414"/>
      <c r="AT25" s="414"/>
      <c r="AU25" s="414"/>
    </row>
    <row r="26" spans="1:47" ht="9" customHeight="1">
      <c r="A26" s="26"/>
      <c r="B26" s="22"/>
      <c r="C26" s="22"/>
      <c r="D26" s="22"/>
      <c r="E26" s="228"/>
      <c r="F26" s="228"/>
      <c r="G26" s="228"/>
      <c r="H26" s="23"/>
      <c r="I26" s="228"/>
      <c r="J26" s="23"/>
      <c r="K26" s="23"/>
      <c r="L26" s="228"/>
      <c r="M26" s="22"/>
      <c r="N26" s="23"/>
      <c r="O26" s="22"/>
      <c r="P26" s="22"/>
      <c r="Q26" s="23"/>
      <c r="R26" s="22"/>
      <c r="S26" s="22"/>
      <c r="T26" s="22"/>
      <c r="U26" s="22"/>
      <c r="V26" s="22"/>
      <c r="W26" s="22"/>
      <c r="X26" s="22"/>
      <c r="Y26" s="22"/>
      <c r="Z26" s="27"/>
      <c r="AA26" s="27"/>
      <c r="AB26" s="27"/>
      <c r="AC26" s="27"/>
      <c r="AD26" s="27"/>
      <c r="AE26" s="27"/>
      <c r="AF26" s="22"/>
      <c r="AG26" s="22"/>
      <c r="AH26" s="28"/>
      <c r="AI26" s="28"/>
      <c r="AJ26" s="22"/>
      <c r="AK26" s="22"/>
      <c r="AL26" s="28"/>
      <c r="AM26" s="28"/>
      <c r="AN26" s="29"/>
      <c r="AO26" s="29"/>
      <c r="AR26" s="27"/>
      <c r="AS26" s="27"/>
      <c r="AT26" s="27"/>
      <c r="AU26" s="27"/>
    </row>
    <row r="27" spans="1:44" ht="9" customHeight="1" thickBot="1">
      <c r="A27" s="26"/>
      <c r="B27" s="301" t="s">
        <v>81</v>
      </c>
      <c r="C27" s="301"/>
      <c r="D27" s="301"/>
      <c r="E27" s="301"/>
      <c r="F27" s="319">
        <v>1</v>
      </c>
      <c r="G27" s="295" t="str">
        <f>IF('時間表'!F51="","",VLOOKUP(F27,GⅠ,2,0))</f>
        <v>野　畑</v>
      </c>
      <c r="H27" s="295"/>
      <c r="I27" s="295"/>
      <c r="J27" s="295"/>
      <c r="K27" s="295"/>
      <c r="L27" s="373">
        <f>IF('時間表'!D57="","",'時間表'!D57)</f>
        <v>1</v>
      </c>
      <c r="M27" s="373"/>
      <c r="N27" s="356">
        <f>IF('時間表'!D58="","",'時間表'!D58)</f>
      </c>
      <c r="O27" s="357"/>
      <c r="P27" s="300" t="s">
        <v>84</v>
      </c>
      <c r="Q27" s="301"/>
      <c r="R27" s="301"/>
      <c r="S27" s="301"/>
      <c r="T27" s="319">
        <v>2</v>
      </c>
      <c r="U27" s="297" t="str">
        <f>_xlfn.IFERROR(VLOOKUP(T27,GⅠ,2,0),"")</f>
        <v>大　原</v>
      </c>
      <c r="V27" s="297"/>
      <c r="W27" s="297"/>
      <c r="X27" s="297"/>
      <c r="Y27" s="297"/>
      <c r="Z27" s="373">
        <f>IF('時間表'!D55="","",'時間表'!D55)</f>
        <v>1</v>
      </c>
      <c r="AA27" s="373"/>
      <c r="AB27" s="356">
        <f>IF('時間表'!D56="","",'時間表'!D56)</f>
      </c>
      <c r="AC27" s="357"/>
      <c r="AD27" s="300" t="s">
        <v>86</v>
      </c>
      <c r="AE27" s="301"/>
      <c r="AF27" s="301"/>
      <c r="AG27" s="301"/>
      <c r="AH27" s="319">
        <v>3</v>
      </c>
      <c r="AI27" s="297" t="str">
        <f>_xlfn.IFERROR(VLOOKUP(AH27,GⅠ,2,0),"")</f>
        <v>ｿﾚｽﾃﾚｰｼﾞｬ</v>
      </c>
      <c r="AJ27" s="297"/>
      <c r="AK27" s="297"/>
      <c r="AL27" s="297"/>
      <c r="AM27" s="297"/>
      <c r="AN27" s="373">
        <f>IF('時間表'!D53="","",'時間表'!D53)</f>
        <v>1</v>
      </c>
      <c r="AO27" s="373"/>
      <c r="AP27" s="356">
        <f>IF('時間表'!D54="","",'時間表'!D54)</f>
        <v>3</v>
      </c>
      <c r="AQ27" s="357"/>
      <c r="AR27" s="52"/>
    </row>
    <row r="28" spans="1:44" ht="9" customHeight="1" thickBot="1" thickTop="1">
      <c r="A28" s="26"/>
      <c r="B28" s="301"/>
      <c r="C28" s="301"/>
      <c r="D28" s="301"/>
      <c r="E28" s="363"/>
      <c r="F28" s="364"/>
      <c r="G28" s="365"/>
      <c r="H28" s="366"/>
      <c r="I28" s="367"/>
      <c r="J28" s="368"/>
      <c r="K28" s="368"/>
      <c r="L28" s="401"/>
      <c r="M28" s="373"/>
      <c r="N28" s="358"/>
      <c r="O28" s="359"/>
      <c r="P28" s="300"/>
      <c r="Q28" s="301"/>
      <c r="R28" s="301"/>
      <c r="S28" s="301"/>
      <c r="T28" s="320"/>
      <c r="U28" s="298"/>
      <c r="V28" s="298"/>
      <c r="W28" s="298"/>
      <c r="X28" s="298"/>
      <c r="Y28" s="298"/>
      <c r="Z28" s="373"/>
      <c r="AA28" s="373"/>
      <c r="AB28" s="358"/>
      <c r="AC28" s="359"/>
      <c r="AD28" s="300"/>
      <c r="AE28" s="301"/>
      <c r="AF28" s="301"/>
      <c r="AG28" s="301"/>
      <c r="AH28" s="320"/>
      <c r="AI28" s="298"/>
      <c r="AJ28" s="298"/>
      <c r="AK28" s="298"/>
      <c r="AL28" s="298"/>
      <c r="AM28" s="298"/>
      <c r="AN28" s="373"/>
      <c r="AO28" s="373"/>
      <c r="AP28" s="358"/>
      <c r="AQ28" s="359"/>
      <c r="AR28" s="52"/>
    </row>
    <row r="29" spans="1:44" ht="9" customHeight="1">
      <c r="A29" s="26"/>
      <c r="B29" s="31"/>
      <c r="C29" s="119"/>
      <c r="D29" s="46"/>
      <c r="E29" s="39"/>
      <c r="F29" s="39"/>
      <c r="G29" s="39"/>
      <c r="H29" s="40"/>
      <c r="I29" s="39"/>
      <c r="J29" s="41"/>
      <c r="K29" s="37"/>
      <c r="L29" s="39"/>
      <c r="M29" s="124"/>
      <c r="N29" s="400" t="s">
        <v>123</v>
      </c>
      <c r="O29" s="400"/>
      <c r="P29" s="46"/>
      <c r="Q29" s="127"/>
      <c r="R29" s="46"/>
      <c r="S29" s="39"/>
      <c r="T29" s="39"/>
      <c r="U29" s="39"/>
      <c r="V29" s="39"/>
      <c r="W29" s="39"/>
      <c r="X29" s="41"/>
      <c r="Y29" s="37"/>
      <c r="Z29" s="39"/>
      <c r="AA29" s="124"/>
      <c r="AB29" s="400" t="s">
        <v>123</v>
      </c>
      <c r="AC29" s="400"/>
      <c r="AD29" s="46"/>
      <c r="AE29" s="127"/>
      <c r="AF29" s="46"/>
      <c r="AG29" s="39"/>
      <c r="AH29" s="39"/>
      <c r="AI29" s="39"/>
      <c r="AJ29" s="39"/>
      <c r="AK29" s="39"/>
      <c r="AL29" s="41"/>
      <c r="AM29" s="37"/>
      <c r="AN29" s="39"/>
      <c r="AO29" s="124"/>
      <c r="AP29" s="400" t="s">
        <v>123</v>
      </c>
      <c r="AQ29" s="400"/>
      <c r="AR29" s="52"/>
    </row>
    <row r="30" spans="1:53" ht="9" customHeight="1">
      <c r="A30" s="26"/>
      <c r="B30" s="301" t="s">
        <v>82</v>
      </c>
      <c r="C30" s="301"/>
      <c r="D30" s="301"/>
      <c r="E30" s="301"/>
      <c r="F30" s="319">
        <v>1</v>
      </c>
      <c r="G30" s="295" t="str">
        <f>IF('時間表'!F52="","",VLOOKUP(F30,GⅡ,2,0))</f>
        <v>ひじり</v>
      </c>
      <c r="H30" s="295"/>
      <c r="I30" s="295"/>
      <c r="J30" s="295"/>
      <c r="K30" s="295"/>
      <c r="L30" s="373">
        <f>IF('時間表'!F57="","",'時間表'!F57)</f>
        <v>0</v>
      </c>
      <c r="M30" s="373"/>
      <c r="N30" s="356">
        <f>IF('時間表'!F58="","",'時間表'!F58)</f>
      </c>
      <c r="O30" s="357"/>
      <c r="P30" s="300" t="s">
        <v>85</v>
      </c>
      <c r="Q30" s="301"/>
      <c r="R30" s="301"/>
      <c r="S30" s="301"/>
      <c r="T30" s="319">
        <v>2</v>
      </c>
      <c r="U30" s="297" t="str">
        <f>_xlfn.IFERROR(VLOOKUP(T30,GⅡ,2,0),"")</f>
        <v>桜　井</v>
      </c>
      <c r="V30" s="297"/>
      <c r="W30" s="297"/>
      <c r="X30" s="297"/>
      <c r="Y30" s="297"/>
      <c r="Z30" s="373">
        <f>IF('時間表'!F55="","",'時間表'!F55)</f>
        <v>2</v>
      </c>
      <c r="AA30" s="373"/>
      <c r="AB30" s="356">
        <f>IF('時間表'!F56="","",'時間表'!F56)</f>
      </c>
      <c r="AC30" s="357"/>
      <c r="AD30" s="300" t="s">
        <v>87</v>
      </c>
      <c r="AE30" s="301"/>
      <c r="AF30" s="301"/>
      <c r="AG30" s="301"/>
      <c r="AH30" s="319">
        <v>3</v>
      </c>
      <c r="AI30" s="297" t="str">
        <f>_xlfn.IFERROR(VLOOKUP(AH30,GⅡ,2,0),"")</f>
        <v>六　条</v>
      </c>
      <c r="AJ30" s="297"/>
      <c r="AK30" s="297"/>
      <c r="AL30" s="297"/>
      <c r="AM30" s="297"/>
      <c r="AN30" s="373">
        <f>IF('時間表'!F53="","",'時間表'!F53)</f>
        <v>1</v>
      </c>
      <c r="AO30" s="373"/>
      <c r="AP30" s="356">
        <f>IF('時間表'!F54="","",'時間表'!F54)</f>
        <v>4</v>
      </c>
      <c r="AQ30" s="357"/>
      <c r="AR30" s="37"/>
      <c r="AS30" s="30"/>
      <c r="AT30" s="32"/>
      <c r="AU30" s="33"/>
      <c r="AV30" s="33"/>
      <c r="AW30" s="33"/>
      <c r="AX30" s="33"/>
      <c r="AY30" s="33"/>
      <c r="AZ30" s="33"/>
      <c r="BA30" s="33"/>
    </row>
    <row r="31" spans="1:53" ht="9" customHeight="1" thickBot="1">
      <c r="A31" s="26"/>
      <c r="B31" s="301"/>
      <c r="C31" s="301"/>
      <c r="D31" s="301"/>
      <c r="E31" s="301"/>
      <c r="F31" s="320"/>
      <c r="G31" s="296"/>
      <c r="H31" s="296"/>
      <c r="I31" s="296"/>
      <c r="J31" s="296"/>
      <c r="K31" s="296"/>
      <c r="L31" s="373"/>
      <c r="M31" s="373"/>
      <c r="N31" s="358"/>
      <c r="O31" s="359"/>
      <c r="P31" s="300"/>
      <c r="Q31" s="301"/>
      <c r="R31" s="301"/>
      <c r="S31" s="301"/>
      <c r="T31" s="320"/>
      <c r="U31" s="298"/>
      <c r="V31" s="298"/>
      <c r="W31" s="298"/>
      <c r="X31" s="298"/>
      <c r="Y31" s="298"/>
      <c r="Z31" s="373"/>
      <c r="AA31" s="373"/>
      <c r="AB31" s="358"/>
      <c r="AC31" s="359"/>
      <c r="AD31" s="300"/>
      <c r="AE31" s="301"/>
      <c r="AF31" s="301"/>
      <c r="AG31" s="301"/>
      <c r="AH31" s="320"/>
      <c r="AI31" s="298"/>
      <c r="AJ31" s="298"/>
      <c r="AK31" s="298"/>
      <c r="AL31" s="298"/>
      <c r="AM31" s="298"/>
      <c r="AN31" s="373"/>
      <c r="AO31" s="373"/>
      <c r="AP31" s="358"/>
      <c r="AQ31" s="359"/>
      <c r="AR31" s="37"/>
      <c r="AS31" s="30"/>
      <c r="AT31" s="32"/>
      <c r="AU31" s="33"/>
      <c r="AV31" s="33"/>
      <c r="AW31" s="33"/>
      <c r="AX31" s="33"/>
      <c r="AY31" s="33"/>
      <c r="AZ31" s="33"/>
      <c r="BA31" s="33"/>
    </row>
    <row r="32" spans="1:65" ht="9" customHeight="1">
      <c r="A32" s="26"/>
      <c r="B32" s="30"/>
      <c r="C32" s="69"/>
      <c r="D32" s="69"/>
      <c r="E32" s="69"/>
      <c r="F32" s="69"/>
      <c r="G32" s="70"/>
      <c r="H32" s="42"/>
      <c r="I32" s="42"/>
      <c r="J32" s="42"/>
      <c r="K32" s="42"/>
      <c r="L32" s="42"/>
      <c r="M32" s="42"/>
      <c r="N32" s="43"/>
      <c r="O32" s="71"/>
      <c r="P32" s="71"/>
      <c r="Q32" s="71"/>
      <c r="R32" s="71"/>
      <c r="S32" s="71"/>
      <c r="T32" s="70"/>
      <c r="U32" s="42"/>
      <c r="V32" s="42"/>
      <c r="W32" s="42"/>
      <c r="X32" s="42"/>
      <c r="Y32" s="42"/>
      <c r="Z32" s="42"/>
      <c r="AA32" s="43"/>
      <c r="AB32" s="43"/>
      <c r="AC32" s="71"/>
      <c r="AD32" s="71"/>
      <c r="AE32" s="71"/>
      <c r="AF32" s="71"/>
      <c r="AG32" s="71"/>
      <c r="AH32" s="70"/>
      <c r="AI32" s="42"/>
      <c r="AJ32" s="42"/>
      <c r="AK32" s="42"/>
      <c r="AL32" s="42"/>
      <c r="AM32" s="42"/>
      <c r="AN32" s="42"/>
      <c r="AO32" s="42"/>
      <c r="AP32" s="72"/>
      <c r="AQ32" s="72"/>
      <c r="AR32" s="27"/>
      <c r="AS32" s="27"/>
      <c r="AT32" s="27"/>
      <c r="AU32" s="27"/>
      <c r="AZ32" s="31"/>
      <c r="BA32" s="69"/>
      <c r="BB32" s="69"/>
      <c r="BC32" s="73"/>
      <c r="BD32" s="74"/>
      <c r="BE32" s="75"/>
      <c r="BF32" s="70"/>
      <c r="BG32" s="42"/>
      <c r="BH32" s="42"/>
      <c r="BI32" s="42"/>
      <c r="BJ32" s="33"/>
      <c r="BK32" s="30"/>
      <c r="BL32" s="42"/>
      <c r="BM32" s="27"/>
    </row>
    <row r="33" spans="1:65" ht="9" customHeight="1">
      <c r="A33" s="26"/>
      <c r="B33" s="30"/>
      <c r="C33" s="69"/>
      <c r="D33" s="69"/>
      <c r="E33" s="69"/>
      <c r="F33" s="69"/>
      <c r="G33" s="70"/>
      <c r="H33" s="42"/>
      <c r="I33" s="42"/>
      <c r="J33" s="42"/>
      <c r="K33" s="42"/>
      <c r="L33" s="42"/>
      <c r="M33" s="42"/>
      <c r="N33" s="220"/>
      <c r="O33" s="221"/>
      <c r="P33" s="71"/>
      <c r="Q33" s="71"/>
      <c r="R33" s="71"/>
      <c r="S33" s="71"/>
      <c r="T33" s="70"/>
      <c r="U33" s="42"/>
      <c r="V33" s="42"/>
      <c r="W33" s="42"/>
      <c r="X33" s="42"/>
      <c r="Y33" s="42"/>
      <c r="Z33" s="42"/>
      <c r="AA33" s="43"/>
      <c r="AB33" s="43"/>
      <c r="AC33" s="71"/>
      <c r="AD33" s="71"/>
      <c r="AE33" s="71"/>
      <c r="AF33" s="71"/>
      <c r="AG33" s="71"/>
      <c r="AH33" s="70"/>
      <c r="AI33" s="42"/>
      <c r="AJ33" s="42"/>
      <c r="AK33" s="42"/>
      <c r="AL33" s="42"/>
      <c r="AM33" s="42"/>
      <c r="AN33" s="42"/>
      <c r="AO33" s="42"/>
      <c r="AP33" s="72"/>
      <c r="AQ33" s="72"/>
      <c r="AR33" s="27"/>
      <c r="AS33" s="27"/>
      <c r="AT33" s="27"/>
      <c r="AU33" s="27"/>
      <c r="AZ33" s="30"/>
      <c r="BA33" s="30"/>
      <c r="BB33" s="30"/>
      <c r="BC33" s="30"/>
      <c r="BD33" s="30"/>
      <c r="BE33" s="30"/>
      <c r="BF33" s="32"/>
      <c r="BG33" s="33"/>
      <c r="BH33" s="33"/>
      <c r="BI33" s="33"/>
      <c r="BJ33" s="33"/>
      <c r="BK33" s="33"/>
      <c r="BL33" s="33"/>
      <c r="BM33" s="33"/>
    </row>
    <row r="34" spans="1:65" ht="9" customHeight="1">
      <c r="A34" s="26"/>
      <c r="B34" s="30"/>
      <c r="C34" s="69"/>
      <c r="D34" s="69"/>
      <c r="E34" s="69"/>
      <c r="F34" s="69"/>
      <c r="G34" s="70"/>
      <c r="H34" s="42"/>
      <c r="I34" s="42"/>
      <c r="J34" s="42"/>
      <c r="K34" s="42"/>
      <c r="L34" s="42"/>
      <c r="M34" s="42"/>
      <c r="N34" s="43"/>
      <c r="O34" s="71"/>
      <c r="P34" s="71"/>
      <c r="Q34" s="71"/>
      <c r="R34" s="71"/>
      <c r="S34" s="71"/>
      <c r="T34" s="70"/>
      <c r="U34" s="42"/>
      <c r="V34" s="42"/>
      <c r="W34" s="42"/>
      <c r="X34" s="42"/>
      <c r="Y34" s="42"/>
      <c r="Z34" s="42"/>
      <c r="AA34" s="43"/>
      <c r="AB34" s="43"/>
      <c r="AC34" s="71"/>
      <c r="AD34" s="71"/>
      <c r="AE34" s="71"/>
      <c r="AF34" s="71"/>
      <c r="AG34" s="71"/>
      <c r="AH34" s="70"/>
      <c r="AI34" s="42"/>
      <c r="AJ34" s="42"/>
      <c r="AK34" s="42"/>
      <c r="AL34" s="42"/>
      <c r="AM34" s="42"/>
      <c r="AN34" s="42"/>
      <c r="AO34" s="42"/>
      <c r="AP34" s="72"/>
      <c r="AR34" s="27"/>
      <c r="AS34" s="27"/>
      <c r="AT34" s="27"/>
      <c r="AU34" s="27"/>
      <c r="AZ34" s="30"/>
      <c r="BA34" s="30"/>
      <c r="BB34" s="30"/>
      <c r="BC34" s="30"/>
      <c r="BD34" s="30"/>
      <c r="BE34" s="30"/>
      <c r="BF34" s="32"/>
      <c r="BG34" s="33"/>
      <c r="BH34" s="33"/>
      <c r="BI34" s="33"/>
      <c r="BJ34" s="33"/>
      <c r="BK34" s="33"/>
      <c r="BL34" s="33"/>
      <c r="BM34" s="33"/>
    </row>
    <row r="35" spans="2:41" ht="9" customHeight="1">
      <c r="B35" s="22"/>
      <c r="C35" s="22"/>
      <c r="D35" s="22"/>
      <c r="E35" s="22"/>
      <c r="F35" s="22"/>
      <c r="G35" s="22"/>
      <c r="H35" s="22"/>
      <c r="I35" s="22"/>
      <c r="J35" s="23"/>
      <c r="K35" s="22"/>
      <c r="L35" s="22"/>
      <c r="M35" s="22"/>
      <c r="N35" s="22"/>
      <c r="O35" s="22"/>
      <c r="P35" s="23"/>
      <c r="Q35" s="22"/>
      <c r="R35" s="22"/>
      <c r="S35" s="22"/>
      <c r="T35" s="22"/>
      <c r="U35" s="22"/>
      <c r="V35" s="23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4"/>
      <c r="AI35" s="24"/>
      <c r="AJ35" s="24"/>
      <c r="AK35" s="24"/>
      <c r="AL35" s="22"/>
      <c r="AM35" s="22"/>
      <c r="AN35" s="22"/>
      <c r="AO35" s="22"/>
    </row>
    <row r="36" spans="2:19" ht="9" customHeight="1">
      <c r="B36" s="314" t="s">
        <v>61</v>
      </c>
      <c r="C36" s="314"/>
      <c r="D36" s="307" t="str">
        <f>'時間表'!V35</f>
        <v>東市小学校G</v>
      </c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20"/>
      <c r="R36" s="20"/>
      <c r="S36" s="20"/>
    </row>
    <row r="37" spans="2:19" ht="9" customHeight="1">
      <c r="B37" s="314"/>
      <c r="C37" s="314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20"/>
      <c r="R37" s="20"/>
      <c r="S37" s="20"/>
    </row>
    <row r="39" spans="2:57" ht="9" customHeight="1">
      <c r="B39" s="283" t="str">
        <f>'時間表'!T34</f>
        <v>H</v>
      </c>
      <c r="C39" s="284"/>
      <c r="D39" s="287" t="s">
        <v>79</v>
      </c>
      <c r="E39" s="287"/>
      <c r="F39" s="287"/>
      <c r="G39" s="288"/>
      <c r="H39" s="407" t="str">
        <f>B41</f>
        <v>あやめ池</v>
      </c>
      <c r="I39" s="407"/>
      <c r="J39" s="407"/>
      <c r="K39" s="407"/>
      <c r="L39" s="407"/>
      <c r="M39" s="407"/>
      <c r="N39" s="407" t="str">
        <f>B43</f>
        <v>STELO</v>
      </c>
      <c r="O39" s="407"/>
      <c r="P39" s="407"/>
      <c r="Q39" s="407"/>
      <c r="R39" s="407"/>
      <c r="S39" s="407"/>
      <c r="T39" s="407" t="str">
        <f>B45</f>
        <v>水　戸</v>
      </c>
      <c r="U39" s="407"/>
      <c r="V39" s="407"/>
      <c r="W39" s="407"/>
      <c r="X39" s="407"/>
      <c r="Y39" s="407"/>
      <c r="Z39" s="404" t="s">
        <v>62</v>
      </c>
      <c r="AA39" s="404"/>
      <c r="AB39" s="404" t="s">
        <v>63</v>
      </c>
      <c r="AC39" s="404"/>
      <c r="AD39" s="404" t="s">
        <v>64</v>
      </c>
      <c r="AE39" s="404"/>
      <c r="AF39" s="404" t="s">
        <v>67</v>
      </c>
      <c r="AG39" s="404"/>
      <c r="AH39" s="404" t="s">
        <v>65</v>
      </c>
      <c r="AI39" s="404"/>
      <c r="AJ39" s="407" t="s">
        <v>69</v>
      </c>
      <c r="AK39" s="407"/>
      <c r="AL39" s="404" t="s">
        <v>66</v>
      </c>
      <c r="AM39" s="404"/>
      <c r="AN39" s="404" t="s">
        <v>68</v>
      </c>
      <c r="AO39" s="404"/>
      <c r="AP39" s="408" t="s">
        <v>83</v>
      </c>
      <c r="AQ39" s="409"/>
      <c r="AR39" s="415" t="s">
        <v>57</v>
      </c>
      <c r="AS39" s="415" t="s">
        <v>59</v>
      </c>
      <c r="AT39" s="415" t="s">
        <v>58</v>
      </c>
      <c r="AU39" s="415" t="s">
        <v>60</v>
      </c>
      <c r="AZ39" s="350" t="str">
        <f>B39</f>
        <v>H</v>
      </c>
      <c r="BA39" s="351"/>
      <c r="BB39" s="351" t="s">
        <v>88</v>
      </c>
      <c r="BC39" s="351"/>
      <c r="BD39" s="351"/>
      <c r="BE39" s="354"/>
    </row>
    <row r="40" spans="2:57" ht="9" customHeight="1">
      <c r="B40" s="285"/>
      <c r="C40" s="286"/>
      <c r="D40" s="289"/>
      <c r="E40" s="289"/>
      <c r="F40" s="289"/>
      <c r="G40" s="290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6"/>
      <c r="AA40" s="406"/>
      <c r="AB40" s="406"/>
      <c r="AC40" s="406"/>
      <c r="AD40" s="406"/>
      <c r="AE40" s="406"/>
      <c r="AF40" s="405"/>
      <c r="AG40" s="405"/>
      <c r="AH40" s="406"/>
      <c r="AI40" s="406"/>
      <c r="AJ40" s="407"/>
      <c r="AK40" s="407"/>
      <c r="AL40" s="406"/>
      <c r="AM40" s="406"/>
      <c r="AN40" s="405"/>
      <c r="AO40" s="405"/>
      <c r="AP40" s="410"/>
      <c r="AQ40" s="411"/>
      <c r="AR40" s="415"/>
      <c r="AS40" s="415"/>
      <c r="AT40" s="415"/>
      <c r="AU40" s="415"/>
      <c r="AZ40" s="352"/>
      <c r="BA40" s="353"/>
      <c r="BB40" s="353"/>
      <c r="BC40" s="353"/>
      <c r="BD40" s="353"/>
      <c r="BE40" s="355"/>
    </row>
    <row r="41" spans="1:73" ht="9" customHeight="1">
      <c r="A41" s="416">
        <f>AN41</f>
        <v>3</v>
      </c>
      <c r="B41" s="417" t="str">
        <f>'時間表'!U35</f>
        <v>あやめ池</v>
      </c>
      <c r="C41" s="418"/>
      <c r="D41" s="418"/>
      <c r="E41" s="418"/>
      <c r="F41" s="418"/>
      <c r="G41" s="419"/>
      <c r="H41" s="453"/>
      <c r="I41" s="453"/>
      <c r="J41" s="453"/>
      <c r="K41" s="453"/>
      <c r="L41" s="453"/>
      <c r="M41" s="454"/>
      <c r="N41" s="424" t="str">
        <f>IF(O41="","",IF(O41&gt;R41,"○",IF(O41&lt;R41,"●","△")))</f>
        <v>●</v>
      </c>
      <c r="O41" s="351">
        <f>IF('時間表'!J47="","",'時間表'!J47)</f>
        <v>0</v>
      </c>
      <c r="P41" s="351"/>
      <c r="Q41" s="67"/>
      <c r="R41" s="351">
        <f>IF('時間表'!L47="","",'時間表'!L47)</f>
        <v>6</v>
      </c>
      <c r="S41" s="351"/>
      <c r="T41" s="424" t="str">
        <f>IF(U41="","",IF(U41&gt;X41,"○",IF(U41&lt;X41,"●","△")))</f>
        <v>●</v>
      </c>
      <c r="U41" s="351">
        <f>IF('時間表'!J49="","",'時間表'!J49)</f>
        <v>0</v>
      </c>
      <c r="V41" s="351"/>
      <c r="W41" s="67"/>
      <c r="X41" s="351">
        <f>IF('時間表'!L49="","",'時間表'!L49)</f>
        <v>4</v>
      </c>
      <c r="Y41" s="351"/>
      <c r="Z41" s="429">
        <f>IF('時間表'!J47="","",COUNTIF($H41:$Y42,"○"))</f>
        <v>0</v>
      </c>
      <c r="AA41" s="430"/>
      <c r="AB41" s="429">
        <f>IF('時間表'!J47="","",COUNTIF($H41:$Y42,"△"))</f>
        <v>0</v>
      </c>
      <c r="AC41" s="430"/>
      <c r="AD41" s="429">
        <f>IF('時間表'!J47="","",COUNTIF($H41:$Y42,"●"))</f>
        <v>2</v>
      </c>
      <c r="AE41" s="430"/>
      <c r="AF41" s="412">
        <f>_xlfn.IFERROR(Z41*3+AB41,"")</f>
        <v>0</v>
      </c>
      <c r="AG41" s="412"/>
      <c r="AH41" s="446">
        <f>_xlfn.IFERROR(O41+U41,"")</f>
        <v>0</v>
      </c>
      <c r="AI41" s="447"/>
      <c r="AJ41" s="412">
        <f>_xlfn.IFERROR(R41+X41,"")</f>
        <v>10</v>
      </c>
      <c r="AK41" s="412"/>
      <c r="AL41" s="444">
        <f>_xlfn.IFERROR(AH41-AJ41,"")</f>
        <v>-10</v>
      </c>
      <c r="AM41" s="445"/>
      <c r="AN41" s="412">
        <f>IF('時間表'!J47="","",RANK(AU41,$AU$41:$AU$46,1))</f>
        <v>3</v>
      </c>
      <c r="AO41" s="412"/>
      <c r="AP41" s="311">
        <f>_xlfn.IFERROR(AZ41,"")</f>
        <v>5</v>
      </c>
      <c r="AQ41" s="311"/>
      <c r="AR41" s="414">
        <f>_xlfn.IFERROR(100*RANK(AF41,AF41:AG46,0),"")</f>
        <v>300</v>
      </c>
      <c r="AS41" s="414">
        <f>_xlfn.IFERROR(10*RANK(AL41,AL41:AM46,0),"")</f>
        <v>30</v>
      </c>
      <c r="AT41" s="414">
        <f>_xlfn.IFERROR(RANK(AH41,AH41:AI46,0),"")</f>
        <v>3</v>
      </c>
      <c r="AU41" s="414">
        <f>_xlfn.IFERROR(SUM(AR41:AT42),"")</f>
        <v>333</v>
      </c>
      <c r="AZ41" s="278">
        <f>VLOOKUP(BA41,BT41:BU52,2,0)</f>
        <v>5</v>
      </c>
      <c r="BA41" s="407" t="str">
        <f>B41</f>
        <v>あやめ池</v>
      </c>
      <c r="BB41" s="407"/>
      <c r="BC41" s="407"/>
      <c r="BD41" s="407"/>
      <c r="BE41" s="407"/>
      <c r="BJ41" s="375" t="str">
        <f>G57</f>
        <v>STELO</v>
      </c>
      <c r="BK41" s="375"/>
      <c r="BL41" s="375"/>
      <c r="BM41" s="375"/>
      <c r="BN41" s="376" t="str">
        <f>IF(L57&gt;L60,"1",IF(L57&lt;L60,"2","0"))</f>
        <v>1</v>
      </c>
      <c r="BO41" s="376"/>
      <c r="BP41" s="375" t="str">
        <f>IF(N57&gt;N60,"1",IF(N57&lt;N60,"2","0"))</f>
        <v>0</v>
      </c>
      <c r="BQ41" s="375"/>
      <c r="BR41" s="375">
        <f>BN41+BP41</f>
        <v>1</v>
      </c>
      <c r="BS41" s="375"/>
      <c r="BT41" s="377" t="str">
        <f>BJ41</f>
        <v>STELO</v>
      </c>
      <c r="BU41" s="377">
        <f>BR41</f>
        <v>1</v>
      </c>
    </row>
    <row r="42" spans="1:73" ht="9" customHeight="1">
      <c r="A42" s="416"/>
      <c r="B42" s="417"/>
      <c r="C42" s="418"/>
      <c r="D42" s="418"/>
      <c r="E42" s="418"/>
      <c r="F42" s="418"/>
      <c r="G42" s="419"/>
      <c r="H42" s="422"/>
      <c r="I42" s="422"/>
      <c r="J42" s="422"/>
      <c r="K42" s="422"/>
      <c r="L42" s="422"/>
      <c r="M42" s="423"/>
      <c r="N42" s="425"/>
      <c r="O42" s="353"/>
      <c r="P42" s="353"/>
      <c r="Q42" s="68"/>
      <c r="R42" s="353"/>
      <c r="S42" s="353"/>
      <c r="T42" s="425"/>
      <c r="U42" s="353"/>
      <c r="V42" s="353"/>
      <c r="W42" s="68"/>
      <c r="X42" s="353"/>
      <c r="Y42" s="353"/>
      <c r="Z42" s="431"/>
      <c r="AA42" s="432"/>
      <c r="AB42" s="431"/>
      <c r="AC42" s="432"/>
      <c r="AD42" s="431"/>
      <c r="AE42" s="432"/>
      <c r="AF42" s="412"/>
      <c r="AG42" s="412"/>
      <c r="AH42" s="448"/>
      <c r="AI42" s="449"/>
      <c r="AJ42" s="412"/>
      <c r="AK42" s="412"/>
      <c r="AL42" s="444"/>
      <c r="AM42" s="445"/>
      <c r="AN42" s="412"/>
      <c r="AO42" s="412"/>
      <c r="AP42" s="311"/>
      <c r="AQ42" s="311"/>
      <c r="AR42" s="414"/>
      <c r="AS42" s="414"/>
      <c r="AT42" s="414"/>
      <c r="AU42" s="414"/>
      <c r="AZ42" s="278"/>
      <c r="BA42" s="407"/>
      <c r="BB42" s="407"/>
      <c r="BC42" s="407"/>
      <c r="BD42" s="407"/>
      <c r="BE42" s="407"/>
      <c r="BJ42" s="375"/>
      <c r="BK42" s="375"/>
      <c r="BL42" s="375"/>
      <c r="BM42" s="375"/>
      <c r="BN42" s="376"/>
      <c r="BO42" s="376"/>
      <c r="BP42" s="375"/>
      <c r="BQ42" s="375"/>
      <c r="BR42" s="375"/>
      <c r="BS42" s="375"/>
      <c r="BT42" s="377"/>
      <c r="BU42" s="377"/>
    </row>
    <row r="43" spans="1:73" ht="9" customHeight="1">
      <c r="A43" s="416">
        <f>AN43</f>
        <v>1</v>
      </c>
      <c r="B43" s="417" t="str">
        <f>'時間表'!U36</f>
        <v>STELO</v>
      </c>
      <c r="C43" s="418"/>
      <c r="D43" s="418"/>
      <c r="E43" s="418"/>
      <c r="F43" s="418"/>
      <c r="G43" s="419"/>
      <c r="H43" s="424" t="str">
        <f>IF(I43="","",IF(I43&gt;L43,"○",IF(I43&lt;L43,"●","△")))</f>
        <v>○</v>
      </c>
      <c r="I43" s="351">
        <f>R41</f>
        <v>6</v>
      </c>
      <c r="J43" s="351"/>
      <c r="K43" s="67"/>
      <c r="L43" s="351">
        <f>O41</f>
        <v>0</v>
      </c>
      <c r="M43" s="354"/>
      <c r="N43" s="442"/>
      <c r="O43" s="441"/>
      <c r="P43" s="441"/>
      <c r="Q43" s="441"/>
      <c r="R43" s="441"/>
      <c r="S43" s="441"/>
      <c r="T43" s="424" t="str">
        <f>IF(U43="","",IF(U43&gt;X43,"○",IF(U43&lt;X43,"●","△")))</f>
        <v>○</v>
      </c>
      <c r="U43" s="351">
        <f>IF('時間表'!J51="","",'時間表'!J51)</f>
        <v>2</v>
      </c>
      <c r="V43" s="351"/>
      <c r="W43" s="67"/>
      <c r="X43" s="351">
        <f>IF('時間表'!L51="","",'時間表'!L51)</f>
        <v>1</v>
      </c>
      <c r="Y43" s="351"/>
      <c r="Z43" s="429">
        <f>IF('時間表'!L47="","",COUNTIF($H43:$Y44,"○"))</f>
        <v>2</v>
      </c>
      <c r="AA43" s="430"/>
      <c r="AB43" s="429">
        <f>IF('時間表'!L47="","",COUNTIF($H43:$Y44,"△"))</f>
        <v>0</v>
      </c>
      <c r="AC43" s="430"/>
      <c r="AD43" s="429">
        <f>IF('時間表'!L47="","",COUNTIF($H43:$Y44,"●"))</f>
        <v>0</v>
      </c>
      <c r="AE43" s="430"/>
      <c r="AF43" s="412">
        <f>_xlfn.IFERROR(Z43*3+AB43,"")</f>
        <v>6</v>
      </c>
      <c r="AG43" s="412"/>
      <c r="AH43" s="446">
        <f>_xlfn.IFERROR(I43+U43,"")</f>
        <v>8</v>
      </c>
      <c r="AI43" s="447"/>
      <c r="AJ43" s="412">
        <f>_xlfn.IFERROR(L43+X43,"")</f>
        <v>1</v>
      </c>
      <c r="AK43" s="412"/>
      <c r="AL43" s="444">
        <f>_xlfn.IFERROR(AH43-AJ43,"")</f>
        <v>7</v>
      </c>
      <c r="AM43" s="445"/>
      <c r="AN43" s="412">
        <f>IF('時間表'!L47="","",RANK(AU43,$AU$41:$AU$46,1))</f>
        <v>1</v>
      </c>
      <c r="AO43" s="412"/>
      <c r="AP43" s="311">
        <f>_xlfn.IFERROR(AZ43,"")</f>
        <v>1</v>
      </c>
      <c r="AQ43" s="311"/>
      <c r="AR43" s="414">
        <f>_xlfn.IFERROR(100*RANK(AF43,AF41:AG46,0),"")</f>
        <v>100</v>
      </c>
      <c r="AS43" s="414">
        <f>_xlfn.IFERROR(10*RANK(AL43,AL41:AM46,0),"")</f>
        <v>10</v>
      </c>
      <c r="AT43" s="414">
        <f>_xlfn.IFERROR(RANK(AH43,AH41:AI46,0),"")</f>
        <v>1</v>
      </c>
      <c r="AU43" s="414">
        <f>_xlfn.IFERROR(SUM(AR43:AT44),"")</f>
        <v>111</v>
      </c>
      <c r="AZ43" s="278">
        <f>VLOOKUP(BA43,BT41:BU52,2,0)</f>
        <v>1</v>
      </c>
      <c r="BA43" s="407" t="str">
        <f>B43</f>
        <v>STELO</v>
      </c>
      <c r="BB43" s="407"/>
      <c r="BC43" s="407"/>
      <c r="BD43" s="407"/>
      <c r="BE43" s="407"/>
      <c r="BJ43" s="375" t="str">
        <f>G60</f>
        <v>都南東市</v>
      </c>
      <c r="BK43" s="375"/>
      <c r="BL43" s="375"/>
      <c r="BM43" s="375"/>
      <c r="BN43" s="376" t="str">
        <f>IF(L57&gt;L60,"2",IF(L57&lt;L60,"1","0"))</f>
        <v>2</v>
      </c>
      <c r="BO43" s="376"/>
      <c r="BP43" s="375" t="str">
        <f>IF(N57&gt;N60,"2",IF(N57&lt;N60,"1","0"))</f>
        <v>0</v>
      </c>
      <c r="BQ43" s="375"/>
      <c r="BR43" s="375">
        <f>BN43+BP43</f>
        <v>2</v>
      </c>
      <c r="BS43" s="375"/>
      <c r="BT43" s="377" t="str">
        <f>BJ43</f>
        <v>都南東市</v>
      </c>
      <c r="BU43" s="377">
        <f>BR43</f>
        <v>2</v>
      </c>
    </row>
    <row r="44" spans="1:73" ht="9" customHeight="1">
      <c r="A44" s="416"/>
      <c r="B44" s="417"/>
      <c r="C44" s="418"/>
      <c r="D44" s="418"/>
      <c r="E44" s="418"/>
      <c r="F44" s="418"/>
      <c r="G44" s="419"/>
      <c r="H44" s="425"/>
      <c r="I44" s="353"/>
      <c r="J44" s="353"/>
      <c r="K44" s="68"/>
      <c r="L44" s="353"/>
      <c r="M44" s="355"/>
      <c r="N44" s="442"/>
      <c r="O44" s="441"/>
      <c r="P44" s="441"/>
      <c r="Q44" s="441"/>
      <c r="R44" s="441"/>
      <c r="S44" s="441"/>
      <c r="T44" s="425"/>
      <c r="U44" s="353"/>
      <c r="V44" s="353"/>
      <c r="W44" s="68"/>
      <c r="X44" s="353"/>
      <c r="Y44" s="353"/>
      <c r="Z44" s="431"/>
      <c r="AA44" s="432"/>
      <c r="AB44" s="431"/>
      <c r="AC44" s="432"/>
      <c r="AD44" s="431"/>
      <c r="AE44" s="432"/>
      <c r="AF44" s="412"/>
      <c r="AG44" s="412"/>
      <c r="AH44" s="448"/>
      <c r="AI44" s="449"/>
      <c r="AJ44" s="412"/>
      <c r="AK44" s="412"/>
      <c r="AL44" s="444"/>
      <c r="AM44" s="445"/>
      <c r="AN44" s="412"/>
      <c r="AO44" s="412"/>
      <c r="AP44" s="311"/>
      <c r="AQ44" s="311"/>
      <c r="AR44" s="414"/>
      <c r="AS44" s="414"/>
      <c r="AT44" s="414"/>
      <c r="AU44" s="414"/>
      <c r="AZ44" s="278"/>
      <c r="BA44" s="407"/>
      <c r="BB44" s="407"/>
      <c r="BC44" s="407"/>
      <c r="BD44" s="407"/>
      <c r="BE44" s="407"/>
      <c r="BJ44" s="375"/>
      <c r="BK44" s="375"/>
      <c r="BL44" s="375"/>
      <c r="BM44" s="375"/>
      <c r="BN44" s="376"/>
      <c r="BO44" s="376"/>
      <c r="BP44" s="375"/>
      <c r="BQ44" s="375"/>
      <c r="BR44" s="375"/>
      <c r="BS44" s="375"/>
      <c r="BT44" s="377"/>
      <c r="BU44" s="377"/>
    </row>
    <row r="45" spans="1:73" ht="9" customHeight="1">
      <c r="A45" s="416">
        <f>AN45</f>
        <v>2</v>
      </c>
      <c r="B45" s="417" t="str">
        <f>'時間表'!U37</f>
        <v>水　戸</v>
      </c>
      <c r="C45" s="418"/>
      <c r="D45" s="418"/>
      <c r="E45" s="418"/>
      <c r="F45" s="418"/>
      <c r="G45" s="419"/>
      <c r="H45" s="424" t="str">
        <f>IF(I45="","",IF(I45&gt;L45,"○",IF(I45&lt;L45,"●","△")))</f>
        <v>○</v>
      </c>
      <c r="I45" s="351">
        <f>X41</f>
        <v>4</v>
      </c>
      <c r="J45" s="351"/>
      <c r="K45" s="67"/>
      <c r="L45" s="351">
        <f>U41</f>
        <v>0</v>
      </c>
      <c r="M45" s="354"/>
      <c r="N45" s="424" t="str">
        <f>IF(O45="","",IF(O45&gt;R45,"○",IF(O45&lt;R45,"●","△")))</f>
        <v>●</v>
      </c>
      <c r="O45" s="351">
        <f>X43</f>
        <v>1</v>
      </c>
      <c r="P45" s="351"/>
      <c r="Q45" s="67"/>
      <c r="R45" s="351">
        <f>U43</f>
        <v>2</v>
      </c>
      <c r="S45" s="354"/>
      <c r="T45" s="442"/>
      <c r="U45" s="441"/>
      <c r="V45" s="441"/>
      <c r="W45" s="441"/>
      <c r="X45" s="441"/>
      <c r="Y45" s="451"/>
      <c r="Z45" s="429">
        <f>IF('時間表'!L49="","",COUNTIF($H45:$Y46,"○"))</f>
        <v>1</v>
      </c>
      <c r="AA45" s="430"/>
      <c r="AB45" s="429">
        <f>IF('時間表'!L49="","",COUNTIF($H45:$Y46,"△"))</f>
        <v>0</v>
      </c>
      <c r="AC45" s="430"/>
      <c r="AD45" s="429">
        <f>IF('時間表'!L49="","",COUNTIF($H45:$Y46,"●"))</f>
        <v>1</v>
      </c>
      <c r="AE45" s="430"/>
      <c r="AF45" s="412">
        <f>_xlfn.IFERROR(Z45*3+AB45,"")</f>
        <v>3</v>
      </c>
      <c r="AG45" s="412"/>
      <c r="AH45" s="446">
        <f>_xlfn.IFERROR(O45+I45,"")</f>
        <v>5</v>
      </c>
      <c r="AI45" s="447"/>
      <c r="AJ45" s="412">
        <f>_xlfn.IFERROR(R45+L45,"")</f>
        <v>2</v>
      </c>
      <c r="AK45" s="412"/>
      <c r="AL45" s="444">
        <f>_xlfn.IFERROR(AH45-AJ45,"")</f>
        <v>3</v>
      </c>
      <c r="AM45" s="445"/>
      <c r="AN45" s="412">
        <f>IF('時間表'!L49="","",RANK(AU45,$AU$41:$AU$46,1))</f>
        <v>2</v>
      </c>
      <c r="AO45" s="412"/>
      <c r="AP45" s="311">
        <f>_xlfn.IFERROR(AZ45,"")</f>
        <v>3</v>
      </c>
      <c r="AQ45" s="311"/>
      <c r="AR45" s="414">
        <f>_xlfn.IFERROR(100*RANK(AF45,AF41:AG46,0),"")</f>
        <v>200</v>
      </c>
      <c r="AS45" s="414">
        <f>_xlfn.IFERROR(10*RANK(AL45,AL41:AM46,0),"")</f>
        <v>20</v>
      </c>
      <c r="AT45" s="414">
        <f>_xlfn.IFERROR(RANK(AH45,AH41:AI46,0),"")</f>
        <v>2</v>
      </c>
      <c r="AU45" s="414">
        <f>_xlfn.IFERROR(SUM(AR45:AT46),"")</f>
        <v>222</v>
      </c>
      <c r="AZ45" s="278">
        <f>VLOOKUP(BA45,BT41:BU52,2,0)</f>
        <v>3</v>
      </c>
      <c r="BA45" s="407" t="str">
        <f>B45</f>
        <v>水　戸</v>
      </c>
      <c r="BB45" s="407"/>
      <c r="BC45" s="407"/>
      <c r="BD45" s="407"/>
      <c r="BE45" s="407"/>
      <c r="BJ45" s="375" t="str">
        <f>U57</f>
        <v>水　戸</v>
      </c>
      <c r="BK45" s="375"/>
      <c r="BL45" s="375"/>
      <c r="BM45" s="375"/>
      <c r="BN45" s="376" t="str">
        <f>IF(Z57&gt;Z60,"3",IF(Z57&lt;Z60,"4","0"))</f>
        <v>3</v>
      </c>
      <c r="BO45" s="376"/>
      <c r="BP45" s="375" t="str">
        <f>IF(AB57&gt;AB60,"3",IF(AB57&lt;AB60,"4","0"))</f>
        <v>0</v>
      </c>
      <c r="BQ45" s="375"/>
      <c r="BR45" s="375">
        <f>BN45+BP45</f>
        <v>3</v>
      </c>
      <c r="BS45" s="375"/>
      <c r="BT45" s="377" t="str">
        <f>BJ45</f>
        <v>水　戸</v>
      </c>
      <c r="BU45" s="377">
        <f>BR45</f>
        <v>3</v>
      </c>
    </row>
    <row r="46" spans="1:73" ht="9" customHeight="1">
      <c r="A46" s="416"/>
      <c r="B46" s="417"/>
      <c r="C46" s="418"/>
      <c r="D46" s="418"/>
      <c r="E46" s="418"/>
      <c r="F46" s="418"/>
      <c r="G46" s="419"/>
      <c r="H46" s="425"/>
      <c r="I46" s="353"/>
      <c r="J46" s="353"/>
      <c r="K46" s="68"/>
      <c r="L46" s="353"/>
      <c r="M46" s="355"/>
      <c r="N46" s="425"/>
      <c r="O46" s="353"/>
      <c r="P46" s="353"/>
      <c r="Q46" s="68"/>
      <c r="R46" s="353"/>
      <c r="S46" s="355"/>
      <c r="T46" s="442"/>
      <c r="U46" s="441"/>
      <c r="V46" s="441"/>
      <c r="W46" s="441"/>
      <c r="X46" s="441"/>
      <c r="Y46" s="451"/>
      <c r="Z46" s="431"/>
      <c r="AA46" s="432"/>
      <c r="AB46" s="431"/>
      <c r="AC46" s="432"/>
      <c r="AD46" s="431"/>
      <c r="AE46" s="432"/>
      <c r="AF46" s="412"/>
      <c r="AG46" s="412"/>
      <c r="AH46" s="448"/>
      <c r="AI46" s="449"/>
      <c r="AJ46" s="412"/>
      <c r="AK46" s="412"/>
      <c r="AL46" s="444"/>
      <c r="AM46" s="445"/>
      <c r="AN46" s="412"/>
      <c r="AO46" s="412"/>
      <c r="AP46" s="311"/>
      <c r="AQ46" s="311"/>
      <c r="AR46" s="414"/>
      <c r="AS46" s="414"/>
      <c r="AT46" s="414"/>
      <c r="AU46" s="414"/>
      <c r="AZ46" s="278"/>
      <c r="BA46" s="407"/>
      <c r="BB46" s="407"/>
      <c r="BC46" s="407"/>
      <c r="BD46" s="407"/>
      <c r="BE46" s="407"/>
      <c r="BJ46" s="375"/>
      <c r="BK46" s="375"/>
      <c r="BL46" s="375"/>
      <c r="BM46" s="375"/>
      <c r="BN46" s="376"/>
      <c r="BO46" s="376"/>
      <c r="BP46" s="375"/>
      <c r="BQ46" s="375"/>
      <c r="BR46" s="375"/>
      <c r="BS46" s="375"/>
      <c r="BT46" s="377"/>
      <c r="BU46" s="377"/>
    </row>
    <row r="47" spans="2:73" ht="9" customHeight="1">
      <c r="B47" s="22"/>
      <c r="C47" s="22"/>
      <c r="D47" s="22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2"/>
      <c r="P47" s="23"/>
      <c r="Q47" s="22"/>
      <c r="R47" s="22"/>
      <c r="S47" s="22"/>
      <c r="T47" s="22"/>
      <c r="U47" s="22"/>
      <c r="V47" s="23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4"/>
      <c r="AI47" s="24"/>
      <c r="AJ47" s="24"/>
      <c r="AK47" s="24"/>
      <c r="AL47" s="22"/>
      <c r="AM47" s="22"/>
      <c r="AN47" s="22"/>
      <c r="AO47" s="22"/>
      <c r="AR47" s="25"/>
      <c r="AS47" s="25"/>
      <c r="AT47" s="25"/>
      <c r="AU47" s="25"/>
      <c r="AZ47" s="278">
        <f>VLOOKUP(BA47,BT41:BU52,2,0)</f>
        <v>2</v>
      </c>
      <c r="BA47" s="407" t="str">
        <f>B50</f>
        <v>都南東市</v>
      </c>
      <c r="BB47" s="407"/>
      <c r="BC47" s="407"/>
      <c r="BD47" s="407"/>
      <c r="BE47" s="407"/>
      <c r="BJ47" s="375" t="str">
        <f>U60</f>
        <v>USFC</v>
      </c>
      <c r="BK47" s="375"/>
      <c r="BL47" s="375"/>
      <c r="BM47" s="375"/>
      <c r="BN47" s="376" t="str">
        <f>IF(Z57&gt;Z60,"4",IF(Z57&lt;Z60,"3","0"))</f>
        <v>4</v>
      </c>
      <c r="BO47" s="376"/>
      <c r="BP47" s="375" t="str">
        <f>IF(AB57&gt;AB60,"4",IF(AB57&lt;AB60,"3","0"))</f>
        <v>0</v>
      </c>
      <c r="BQ47" s="375"/>
      <c r="BR47" s="375">
        <f>BN47+BP47</f>
        <v>4</v>
      </c>
      <c r="BS47" s="375"/>
      <c r="BT47" s="377" t="str">
        <f>BJ47</f>
        <v>USFC</v>
      </c>
      <c r="BU47" s="377">
        <f>BR47</f>
        <v>4</v>
      </c>
    </row>
    <row r="48" spans="2:73" ht="9" customHeight="1">
      <c r="B48" s="283" t="s">
        <v>89</v>
      </c>
      <c r="C48" s="284"/>
      <c r="D48" s="287" t="s">
        <v>80</v>
      </c>
      <c r="E48" s="287"/>
      <c r="F48" s="287"/>
      <c r="G48" s="288"/>
      <c r="H48" s="407" t="str">
        <f>B50</f>
        <v>都南東市</v>
      </c>
      <c r="I48" s="407"/>
      <c r="J48" s="407"/>
      <c r="K48" s="407"/>
      <c r="L48" s="407"/>
      <c r="M48" s="407"/>
      <c r="N48" s="407" t="str">
        <f>B52</f>
        <v>アーヴォリ</v>
      </c>
      <c r="O48" s="407"/>
      <c r="P48" s="407"/>
      <c r="Q48" s="407"/>
      <c r="R48" s="407"/>
      <c r="S48" s="407"/>
      <c r="T48" s="407" t="str">
        <f>B54</f>
        <v>USFC</v>
      </c>
      <c r="U48" s="407"/>
      <c r="V48" s="407"/>
      <c r="W48" s="407"/>
      <c r="X48" s="407"/>
      <c r="Y48" s="407"/>
      <c r="Z48" s="404" t="s">
        <v>62</v>
      </c>
      <c r="AA48" s="404"/>
      <c r="AB48" s="404" t="s">
        <v>63</v>
      </c>
      <c r="AC48" s="404"/>
      <c r="AD48" s="404" t="s">
        <v>64</v>
      </c>
      <c r="AE48" s="404"/>
      <c r="AF48" s="404" t="s">
        <v>67</v>
      </c>
      <c r="AG48" s="404"/>
      <c r="AH48" s="404" t="s">
        <v>65</v>
      </c>
      <c r="AI48" s="404"/>
      <c r="AJ48" s="407" t="s">
        <v>69</v>
      </c>
      <c r="AK48" s="407"/>
      <c r="AL48" s="404" t="s">
        <v>66</v>
      </c>
      <c r="AM48" s="404"/>
      <c r="AN48" s="404" t="s">
        <v>68</v>
      </c>
      <c r="AO48" s="404"/>
      <c r="AP48" s="408" t="s">
        <v>83</v>
      </c>
      <c r="AQ48" s="409"/>
      <c r="AR48" s="415" t="s">
        <v>57</v>
      </c>
      <c r="AS48" s="415" t="s">
        <v>59</v>
      </c>
      <c r="AT48" s="415" t="s">
        <v>58</v>
      </c>
      <c r="AU48" s="415" t="s">
        <v>60</v>
      </c>
      <c r="AZ48" s="278"/>
      <c r="BA48" s="407"/>
      <c r="BB48" s="407"/>
      <c r="BC48" s="407"/>
      <c r="BD48" s="407"/>
      <c r="BE48" s="407"/>
      <c r="BJ48" s="375"/>
      <c r="BK48" s="375"/>
      <c r="BL48" s="375"/>
      <c r="BM48" s="375"/>
      <c r="BN48" s="376"/>
      <c r="BO48" s="376"/>
      <c r="BP48" s="375"/>
      <c r="BQ48" s="375"/>
      <c r="BR48" s="375"/>
      <c r="BS48" s="375"/>
      <c r="BT48" s="377"/>
      <c r="BU48" s="377"/>
    </row>
    <row r="49" spans="2:73" ht="9" customHeight="1">
      <c r="B49" s="285"/>
      <c r="C49" s="286"/>
      <c r="D49" s="289"/>
      <c r="E49" s="289"/>
      <c r="F49" s="289"/>
      <c r="G49" s="290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6"/>
      <c r="AA49" s="406"/>
      <c r="AB49" s="406"/>
      <c r="AC49" s="406"/>
      <c r="AD49" s="406"/>
      <c r="AE49" s="406"/>
      <c r="AF49" s="405"/>
      <c r="AG49" s="405"/>
      <c r="AH49" s="406"/>
      <c r="AI49" s="406"/>
      <c r="AJ49" s="407"/>
      <c r="AK49" s="407"/>
      <c r="AL49" s="406"/>
      <c r="AM49" s="406"/>
      <c r="AN49" s="405"/>
      <c r="AO49" s="405"/>
      <c r="AP49" s="410"/>
      <c r="AQ49" s="411"/>
      <c r="AR49" s="415"/>
      <c r="AS49" s="415"/>
      <c r="AT49" s="415"/>
      <c r="AU49" s="415"/>
      <c r="AZ49" s="278">
        <f>VLOOKUP(BA49,BT41:BU52,2,0)</f>
        <v>6</v>
      </c>
      <c r="BA49" s="407" t="str">
        <f>B52</f>
        <v>アーヴォリ</v>
      </c>
      <c r="BB49" s="407"/>
      <c r="BC49" s="407"/>
      <c r="BD49" s="407"/>
      <c r="BE49" s="407"/>
      <c r="BJ49" s="375" t="str">
        <f>AI57</f>
        <v>あやめ池</v>
      </c>
      <c r="BK49" s="375"/>
      <c r="BL49" s="375"/>
      <c r="BM49" s="375"/>
      <c r="BN49" s="376" t="str">
        <f>IF(AN57&gt;AN60,"5",IF(AN57&lt;AN60,"6","0"))</f>
        <v>5</v>
      </c>
      <c r="BO49" s="376"/>
      <c r="BP49" s="375" t="str">
        <f>IF(AP57&gt;AP60,"5",IF(AP57&lt;AP60,"6","0"))</f>
        <v>0</v>
      </c>
      <c r="BQ49" s="375"/>
      <c r="BR49" s="375">
        <f>BN49+BP49</f>
        <v>5</v>
      </c>
      <c r="BS49" s="375"/>
      <c r="BT49" s="377" t="str">
        <f>BJ49</f>
        <v>あやめ池</v>
      </c>
      <c r="BU49" s="377">
        <f>BR49</f>
        <v>5</v>
      </c>
    </row>
    <row r="50" spans="1:73" ht="9" customHeight="1">
      <c r="A50" s="416">
        <f>AN50</f>
        <v>1</v>
      </c>
      <c r="B50" s="417" t="str">
        <f>'時間表'!U38</f>
        <v>都南東市</v>
      </c>
      <c r="C50" s="418"/>
      <c r="D50" s="418"/>
      <c r="E50" s="418"/>
      <c r="F50" s="418"/>
      <c r="G50" s="419"/>
      <c r="H50" s="453"/>
      <c r="I50" s="453"/>
      <c r="J50" s="453"/>
      <c r="K50" s="453"/>
      <c r="L50" s="453"/>
      <c r="M50" s="454"/>
      <c r="N50" s="76" t="str">
        <f>IF(O50="","",IF(O50&gt;R50,"○",IF(O50&lt;R50,"●","△")))</f>
        <v>○</v>
      </c>
      <c r="O50" s="351">
        <f>IF('時間表'!J48="","",'時間表'!J48)</f>
        <v>5</v>
      </c>
      <c r="P50" s="351"/>
      <c r="Q50" s="67"/>
      <c r="R50" s="351">
        <f>IF('時間表'!L48="","",'時間表'!L48)</f>
        <v>0</v>
      </c>
      <c r="S50" s="351"/>
      <c r="T50" s="424" t="str">
        <f>IF(U50="","",IF(U50&gt;X50,"○",IF(U50&lt;X50,"●","△")))</f>
        <v>○</v>
      </c>
      <c r="U50" s="351">
        <f>IF('時間表'!J50="","",'時間表'!J50)</f>
        <v>3</v>
      </c>
      <c r="V50" s="351"/>
      <c r="W50" s="67"/>
      <c r="X50" s="351">
        <f>IF('時間表'!L50="","",'時間表'!L50)</f>
        <v>1</v>
      </c>
      <c r="Y50" s="351"/>
      <c r="Z50" s="429">
        <f>IF('時間表'!J48="","",COUNTIF($H50:$Y51,"○"))</f>
        <v>2</v>
      </c>
      <c r="AA50" s="430"/>
      <c r="AB50" s="429">
        <f>IF('時間表'!J48="","",COUNTIF($H50:$Y51,"△"))</f>
        <v>0</v>
      </c>
      <c r="AC50" s="430"/>
      <c r="AD50" s="429">
        <f>IF('時間表'!J48="","",COUNTIF($H50:$Y51,"●"))</f>
        <v>0</v>
      </c>
      <c r="AE50" s="430"/>
      <c r="AF50" s="412">
        <f>_xlfn.IFERROR(Z50*3+AB50,"")</f>
        <v>6</v>
      </c>
      <c r="AG50" s="412"/>
      <c r="AH50" s="446">
        <f>_xlfn.IFERROR(O50+U50,"")</f>
        <v>8</v>
      </c>
      <c r="AI50" s="447"/>
      <c r="AJ50" s="412">
        <f>_xlfn.IFERROR(R50+X50,"")</f>
        <v>1</v>
      </c>
      <c r="AK50" s="412"/>
      <c r="AL50" s="444">
        <f>_xlfn.IFERROR(AH50-AJ50,"")</f>
        <v>7</v>
      </c>
      <c r="AM50" s="445"/>
      <c r="AN50" s="412">
        <f>IF('時間表'!J48="","",RANK(AU50,$AU$50:$AU$55,1))</f>
        <v>1</v>
      </c>
      <c r="AO50" s="412"/>
      <c r="AP50" s="311">
        <f>_xlfn.IFERROR(AZ47,"")</f>
        <v>2</v>
      </c>
      <c r="AQ50" s="311"/>
      <c r="AR50" s="414">
        <f>_xlfn.IFERROR(100*RANK(AF50,AF50:AG55,0),"")</f>
        <v>100</v>
      </c>
      <c r="AS50" s="414">
        <f>_xlfn.IFERROR(10*RANK(AL50,AL50:AM55,0),"")</f>
        <v>10</v>
      </c>
      <c r="AT50" s="414">
        <f>_xlfn.IFERROR(RANK(AH50,AH50:AI55,0),"")</f>
        <v>1</v>
      </c>
      <c r="AU50" s="414">
        <f>_xlfn.IFERROR(SUM(AR50:AT51),"")</f>
        <v>111</v>
      </c>
      <c r="AZ50" s="278"/>
      <c r="BA50" s="407"/>
      <c r="BB50" s="407"/>
      <c r="BC50" s="407"/>
      <c r="BD50" s="407"/>
      <c r="BE50" s="407"/>
      <c r="BJ50" s="375"/>
      <c r="BK50" s="375"/>
      <c r="BL50" s="375"/>
      <c r="BM50" s="375"/>
      <c r="BN50" s="376"/>
      <c r="BO50" s="376"/>
      <c r="BP50" s="375"/>
      <c r="BQ50" s="375"/>
      <c r="BR50" s="375"/>
      <c r="BS50" s="375"/>
      <c r="BT50" s="377"/>
      <c r="BU50" s="377"/>
    </row>
    <row r="51" spans="1:73" ht="9" customHeight="1">
      <c r="A51" s="416"/>
      <c r="B51" s="417"/>
      <c r="C51" s="418"/>
      <c r="D51" s="418"/>
      <c r="E51" s="418"/>
      <c r="F51" s="418"/>
      <c r="G51" s="419"/>
      <c r="H51" s="422"/>
      <c r="I51" s="422"/>
      <c r="J51" s="422"/>
      <c r="K51" s="422"/>
      <c r="L51" s="422"/>
      <c r="M51" s="423"/>
      <c r="N51" s="77"/>
      <c r="O51" s="353"/>
      <c r="P51" s="353"/>
      <c r="Q51" s="68"/>
      <c r="R51" s="353"/>
      <c r="S51" s="353"/>
      <c r="T51" s="425"/>
      <c r="U51" s="353"/>
      <c r="V51" s="353"/>
      <c r="W51" s="68"/>
      <c r="X51" s="353"/>
      <c r="Y51" s="353"/>
      <c r="Z51" s="431"/>
      <c r="AA51" s="432"/>
      <c r="AB51" s="431"/>
      <c r="AC51" s="432"/>
      <c r="AD51" s="431"/>
      <c r="AE51" s="432"/>
      <c r="AF51" s="412"/>
      <c r="AG51" s="412"/>
      <c r="AH51" s="448"/>
      <c r="AI51" s="449"/>
      <c r="AJ51" s="412"/>
      <c r="AK51" s="412"/>
      <c r="AL51" s="444"/>
      <c r="AM51" s="445"/>
      <c r="AN51" s="412"/>
      <c r="AO51" s="412"/>
      <c r="AP51" s="311"/>
      <c r="AQ51" s="311"/>
      <c r="AR51" s="414"/>
      <c r="AS51" s="414"/>
      <c r="AT51" s="414"/>
      <c r="AU51" s="414"/>
      <c r="AZ51" s="278">
        <f>VLOOKUP(BA51,BT41:BU52,2,0)</f>
        <v>4</v>
      </c>
      <c r="BA51" s="407" t="str">
        <f>B54</f>
        <v>USFC</v>
      </c>
      <c r="BB51" s="407"/>
      <c r="BC51" s="407"/>
      <c r="BD51" s="407"/>
      <c r="BE51" s="407"/>
      <c r="BJ51" s="375" t="str">
        <f>AI60</f>
        <v>アーヴォリ</v>
      </c>
      <c r="BK51" s="375"/>
      <c r="BL51" s="375"/>
      <c r="BM51" s="375"/>
      <c r="BN51" s="376" t="str">
        <f>IF(AN57&gt;AN60,"6",IF(AN57&lt;AN60,"5","0"))</f>
        <v>6</v>
      </c>
      <c r="BO51" s="376"/>
      <c r="BP51" s="375" t="str">
        <f>IF(AP57&gt;AP60,"6",IF(AP57&lt;AP60,"5","0"))</f>
        <v>0</v>
      </c>
      <c r="BQ51" s="375"/>
      <c r="BR51" s="375">
        <f>BN51+BP51</f>
        <v>6</v>
      </c>
      <c r="BS51" s="375"/>
      <c r="BT51" s="377" t="str">
        <f>BJ51</f>
        <v>アーヴォリ</v>
      </c>
      <c r="BU51" s="377">
        <f>BR51</f>
        <v>6</v>
      </c>
    </row>
    <row r="52" spans="1:73" ht="9" customHeight="1">
      <c r="A52" s="416">
        <f>AN52</f>
        <v>3</v>
      </c>
      <c r="B52" s="417" t="str">
        <f>'時間表'!U39</f>
        <v>アーヴォリ</v>
      </c>
      <c r="C52" s="418"/>
      <c r="D52" s="418"/>
      <c r="E52" s="418"/>
      <c r="F52" s="418"/>
      <c r="G52" s="419"/>
      <c r="H52" s="424" t="str">
        <f>IF(I52="","",IF(I52&gt;L52,"○",IF(I52&lt;L52,"●","△")))</f>
        <v>●</v>
      </c>
      <c r="I52" s="351">
        <f>R50</f>
        <v>0</v>
      </c>
      <c r="J52" s="351"/>
      <c r="K52" s="67"/>
      <c r="L52" s="351">
        <f>O50</f>
        <v>5</v>
      </c>
      <c r="M52" s="354"/>
      <c r="N52" s="442"/>
      <c r="O52" s="441"/>
      <c r="P52" s="441"/>
      <c r="Q52" s="441"/>
      <c r="R52" s="441"/>
      <c r="S52" s="441"/>
      <c r="T52" s="424" t="str">
        <f>IF(U52="","",IF(U52&gt;X52,"○",IF(U52&lt;X52,"●","△")))</f>
        <v>●</v>
      </c>
      <c r="U52" s="351">
        <f>IF('時間表'!J52="","",'時間表'!J52)</f>
        <v>0</v>
      </c>
      <c r="V52" s="351"/>
      <c r="W52" s="67"/>
      <c r="X52" s="351">
        <f>IF('時間表'!L52="","",'時間表'!L52)</f>
        <v>4</v>
      </c>
      <c r="Y52" s="351"/>
      <c r="Z52" s="429">
        <f>IF('時間表'!L48="","",COUNTIF($H52:$Y53,"○"))</f>
        <v>0</v>
      </c>
      <c r="AA52" s="430"/>
      <c r="AB52" s="429">
        <f>IF('時間表'!L48="","",COUNTIF($H52:$Y53,"△"))</f>
        <v>0</v>
      </c>
      <c r="AC52" s="430"/>
      <c r="AD52" s="429">
        <f>IF('時間表'!L48="","",COUNTIF($H52:$Y53,"●"))</f>
        <v>2</v>
      </c>
      <c r="AE52" s="430"/>
      <c r="AF52" s="412">
        <f>_xlfn.IFERROR(Z52*3+AB52,"")</f>
        <v>0</v>
      </c>
      <c r="AG52" s="412"/>
      <c r="AH52" s="446">
        <f>_xlfn.IFERROR(I52+U52,"")</f>
        <v>0</v>
      </c>
      <c r="AI52" s="447"/>
      <c r="AJ52" s="412">
        <f>_xlfn.IFERROR(L52+X52,"")</f>
        <v>9</v>
      </c>
      <c r="AK52" s="412"/>
      <c r="AL52" s="444">
        <f>_xlfn.IFERROR(AH52-AJ52,"")</f>
        <v>-9</v>
      </c>
      <c r="AM52" s="445"/>
      <c r="AN52" s="412">
        <f>IF('時間表'!L48="","",RANK(AU52,$AU$50:$AU$55,1))</f>
        <v>3</v>
      </c>
      <c r="AO52" s="412"/>
      <c r="AP52" s="311">
        <f>_xlfn.IFERROR(AZ49,"")</f>
        <v>6</v>
      </c>
      <c r="AQ52" s="311"/>
      <c r="AR52" s="414">
        <f>_xlfn.IFERROR(100*RANK(AF52,AF50:AG55,0),"")</f>
        <v>300</v>
      </c>
      <c r="AS52" s="414">
        <f>_xlfn.IFERROR(10*RANK(AL52,AL50:AM55,0),"")</f>
        <v>30</v>
      </c>
      <c r="AT52" s="414">
        <f>_xlfn.IFERROR(RANK(AH52,AH50:AI55,0),"")</f>
        <v>3</v>
      </c>
      <c r="AU52" s="414">
        <f>_xlfn.IFERROR(SUM(AR52:AT53),"")</f>
        <v>333</v>
      </c>
      <c r="AZ52" s="278"/>
      <c r="BA52" s="407"/>
      <c r="BB52" s="407"/>
      <c r="BC52" s="407"/>
      <c r="BD52" s="407"/>
      <c r="BE52" s="407"/>
      <c r="BJ52" s="375"/>
      <c r="BK52" s="375"/>
      <c r="BL52" s="375"/>
      <c r="BM52" s="375"/>
      <c r="BN52" s="376"/>
      <c r="BO52" s="376"/>
      <c r="BP52" s="375"/>
      <c r="BQ52" s="375"/>
      <c r="BR52" s="375"/>
      <c r="BS52" s="375"/>
      <c r="BT52" s="377"/>
      <c r="BU52" s="377"/>
    </row>
    <row r="53" spans="1:47" ht="9" customHeight="1">
      <c r="A53" s="416"/>
      <c r="B53" s="417"/>
      <c r="C53" s="418"/>
      <c r="D53" s="418"/>
      <c r="E53" s="418"/>
      <c r="F53" s="418"/>
      <c r="G53" s="419"/>
      <c r="H53" s="425"/>
      <c r="I53" s="353"/>
      <c r="J53" s="353"/>
      <c r="K53" s="68"/>
      <c r="L53" s="353"/>
      <c r="M53" s="355"/>
      <c r="N53" s="442"/>
      <c r="O53" s="441"/>
      <c r="P53" s="441"/>
      <c r="Q53" s="441"/>
      <c r="R53" s="441"/>
      <c r="S53" s="441"/>
      <c r="T53" s="425"/>
      <c r="U53" s="353"/>
      <c r="V53" s="353"/>
      <c r="W53" s="68"/>
      <c r="X53" s="353"/>
      <c r="Y53" s="353"/>
      <c r="Z53" s="431"/>
      <c r="AA53" s="432"/>
      <c r="AB53" s="431"/>
      <c r="AC53" s="432"/>
      <c r="AD53" s="431"/>
      <c r="AE53" s="432"/>
      <c r="AF53" s="412"/>
      <c r="AG53" s="412"/>
      <c r="AH53" s="448"/>
      <c r="AI53" s="449"/>
      <c r="AJ53" s="412"/>
      <c r="AK53" s="412"/>
      <c r="AL53" s="444"/>
      <c r="AM53" s="445"/>
      <c r="AN53" s="412"/>
      <c r="AO53" s="412"/>
      <c r="AP53" s="311"/>
      <c r="AQ53" s="311"/>
      <c r="AR53" s="414"/>
      <c r="AS53" s="414"/>
      <c r="AT53" s="414"/>
      <c r="AU53" s="414"/>
    </row>
    <row r="54" spans="1:47" ht="9" customHeight="1">
      <c r="A54" s="416">
        <f>AN54</f>
        <v>2</v>
      </c>
      <c r="B54" s="417" t="str">
        <f>'時間表'!U41</f>
        <v>USFC</v>
      </c>
      <c r="C54" s="418"/>
      <c r="D54" s="418"/>
      <c r="E54" s="418"/>
      <c r="F54" s="418"/>
      <c r="G54" s="419"/>
      <c r="H54" s="424" t="str">
        <f>IF(I54="","",IF(I54&gt;L54,"○",IF(I54&lt;L54,"●","△")))</f>
        <v>●</v>
      </c>
      <c r="I54" s="351">
        <f>X50</f>
        <v>1</v>
      </c>
      <c r="J54" s="351"/>
      <c r="K54" s="67"/>
      <c r="L54" s="351">
        <f>U50</f>
        <v>3</v>
      </c>
      <c r="M54" s="354"/>
      <c r="N54" s="424" t="str">
        <f>IF(O54="","",IF(O54&gt;R54,"○",IF(O54&lt;R54,"●","△")))</f>
        <v>○</v>
      </c>
      <c r="O54" s="351">
        <f>X52</f>
        <v>4</v>
      </c>
      <c r="P54" s="351"/>
      <c r="Q54" s="67"/>
      <c r="R54" s="351">
        <f>U52</f>
        <v>0</v>
      </c>
      <c r="S54" s="354"/>
      <c r="T54" s="442"/>
      <c r="U54" s="441"/>
      <c r="V54" s="441"/>
      <c r="W54" s="441"/>
      <c r="X54" s="441"/>
      <c r="Y54" s="451"/>
      <c r="Z54" s="429">
        <f>IF('時間表'!L50="","",COUNTIF($H54:$Y55,"○"))</f>
        <v>1</v>
      </c>
      <c r="AA54" s="430"/>
      <c r="AB54" s="429">
        <f>IF('時間表'!L50="","",COUNTIF($H54:$Y55,"△"))</f>
        <v>0</v>
      </c>
      <c r="AC54" s="430"/>
      <c r="AD54" s="429">
        <f>IF('時間表'!L50="","",COUNTIF($H54:$Y55,"●"))</f>
        <v>1</v>
      </c>
      <c r="AE54" s="430"/>
      <c r="AF54" s="412">
        <f>_xlfn.IFERROR(Z54*3+AB54,"")</f>
        <v>3</v>
      </c>
      <c r="AG54" s="412"/>
      <c r="AH54" s="446">
        <f>_xlfn.IFERROR(O54+I54,"")</f>
        <v>5</v>
      </c>
      <c r="AI54" s="447"/>
      <c r="AJ54" s="412">
        <f>_xlfn.IFERROR(R54+L54,"")</f>
        <v>3</v>
      </c>
      <c r="AK54" s="412"/>
      <c r="AL54" s="444">
        <f>_xlfn.IFERROR(AH54-AJ54,"")</f>
        <v>2</v>
      </c>
      <c r="AM54" s="445"/>
      <c r="AN54" s="412">
        <f>IF('時間表'!L50="","",RANK(AU54,$AU$50:$AU$55,1))</f>
        <v>2</v>
      </c>
      <c r="AO54" s="412"/>
      <c r="AP54" s="311">
        <f>_xlfn.IFERROR(AZ51,"")</f>
        <v>4</v>
      </c>
      <c r="AQ54" s="311"/>
      <c r="AR54" s="414">
        <f>_xlfn.IFERROR(100*RANK(AF54,AF50:AG55,0),"")</f>
        <v>200</v>
      </c>
      <c r="AS54" s="414">
        <f>_xlfn.IFERROR(10*RANK(AL54,AL50:AM55,0),"")</f>
        <v>20</v>
      </c>
      <c r="AT54" s="414">
        <f>_xlfn.IFERROR(RANK(AH54,AH50:AI55,0),"")</f>
        <v>2</v>
      </c>
      <c r="AU54" s="414">
        <f>_xlfn.IFERROR(SUM(AR54:AT55),"")</f>
        <v>222</v>
      </c>
    </row>
    <row r="55" spans="1:47" ht="9" customHeight="1">
      <c r="A55" s="416"/>
      <c r="B55" s="417"/>
      <c r="C55" s="418"/>
      <c r="D55" s="418"/>
      <c r="E55" s="418"/>
      <c r="F55" s="418"/>
      <c r="G55" s="419"/>
      <c r="H55" s="425"/>
      <c r="I55" s="353"/>
      <c r="J55" s="353"/>
      <c r="K55" s="68"/>
      <c r="L55" s="353"/>
      <c r="M55" s="355"/>
      <c r="N55" s="425"/>
      <c r="O55" s="353"/>
      <c r="P55" s="353"/>
      <c r="Q55" s="68"/>
      <c r="R55" s="353"/>
      <c r="S55" s="355"/>
      <c r="T55" s="442"/>
      <c r="U55" s="441"/>
      <c r="V55" s="441"/>
      <c r="W55" s="441"/>
      <c r="X55" s="441"/>
      <c r="Y55" s="451"/>
      <c r="Z55" s="431"/>
      <c r="AA55" s="432"/>
      <c r="AB55" s="431"/>
      <c r="AC55" s="432"/>
      <c r="AD55" s="431"/>
      <c r="AE55" s="432"/>
      <c r="AF55" s="412"/>
      <c r="AG55" s="412"/>
      <c r="AH55" s="448"/>
      <c r="AI55" s="449"/>
      <c r="AJ55" s="412"/>
      <c r="AK55" s="412"/>
      <c r="AL55" s="444"/>
      <c r="AM55" s="445"/>
      <c r="AN55" s="412"/>
      <c r="AO55" s="412"/>
      <c r="AP55" s="311"/>
      <c r="AQ55" s="311"/>
      <c r="AR55" s="414"/>
      <c r="AS55" s="414"/>
      <c r="AT55" s="414"/>
      <c r="AU55" s="414"/>
    </row>
    <row r="56" spans="1:47" ht="9" customHeight="1">
      <c r="A56" s="26"/>
      <c r="B56" s="22"/>
      <c r="C56" s="22"/>
      <c r="D56" s="22"/>
      <c r="E56" s="22"/>
      <c r="F56" s="22"/>
      <c r="G56" s="22"/>
      <c r="H56" s="23"/>
      <c r="I56" s="22"/>
      <c r="J56" s="23"/>
      <c r="K56" s="23"/>
      <c r="L56" s="22"/>
      <c r="M56" s="22"/>
      <c r="N56" s="23"/>
      <c r="O56" s="22"/>
      <c r="P56" s="22"/>
      <c r="Q56" s="23"/>
      <c r="R56" s="22"/>
      <c r="S56" s="22"/>
      <c r="T56" s="22"/>
      <c r="U56" s="22"/>
      <c r="V56" s="22"/>
      <c r="W56" s="22"/>
      <c r="X56" s="22"/>
      <c r="Y56" s="22"/>
      <c r="Z56" s="27"/>
      <c r="AA56" s="27"/>
      <c r="AB56" s="27"/>
      <c r="AC56" s="27"/>
      <c r="AD56" s="27"/>
      <c r="AE56" s="27"/>
      <c r="AF56" s="22"/>
      <c r="AG56" s="22"/>
      <c r="AH56" s="28"/>
      <c r="AI56" s="28"/>
      <c r="AJ56" s="22"/>
      <c r="AK56" s="22"/>
      <c r="AL56" s="28"/>
      <c r="AM56" s="28"/>
      <c r="AN56" s="29"/>
      <c r="AO56" s="29"/>
      <c r="AR56" s="27"/>
      <c r="AS56" s="27"/>
      <c r="AT56" s="27"/>
      <c r="AU56" s="27"/>
    </row>
    <row r="57" spans="1:43" ht="9" customHeight="1">
      <c r="A57" s="26"/>
      <c r="B57" s="301" t="s">
        <v>81</v>
      </c>
      <c r="C57" s="301"/>
      <c r="D57" s="301"/>
      <c r="E57" s="301"/>
      <c r="F57" s="319">
        <v>1</v>
      </c>
      <c r="G57" s="295" t="str">
        <f>IF('時間表'!L51="","",VLOOKUP(F57,HⅠ,2,0))</f>
        <v>STELO</v>
      </c>
      <c r="H57" s="295"/>
      <c r="I57" s="295"/>
      <c r="J57" s="295"/>
      <c r="K57" s="295"/>
      <c r="L57" s="373">
        <f>IF('時間表'!J57="","",'時間表'!J57)</f>
        <v>2</v>
      </c>
      <c r="M57" s="373"/>
      <c r="N57" s="356">
        <f>IF('時間表'!J58="","",'時間表'!J58)</f>
      </c>
      <c r="O57" s="357"/>
      <c r="P57" s="300" t="s">
        <v>84</v>
      </c>
      <c r="Q57" s="301"/>
      <c r="R57" s="301"/>
      <c r="S57" s="301"/>
      <c r="T57" s="319">
        <v>2</v>
      </c>
      <c r="U57" s="297" t="str">
        <f>_xlfn.IFERROR(VLOOKUP(T57,HⅠ,2,0),"")</f>
        <v>水　戸</v>
      </c>
      <c r="V57" s="297"/>
      <c r="W57" s="297"/>
      <c r="X57" s="297"/>
      <c r="Y57" s="297"/>
      <c r="Z57" s="373">
        <f>IF('時間表'!J55="","",'時間表'!J55)</f>
        <v>3</v>
      </c>
      <c r="AA57" s="373"/>
      <c r="AB57" s="356">
        <f>IF('時間表'!J56="","",'時間表'!J56)</f>
      </c>
      <c r="AC57" s="357"/>
      <c r="AD57" s="300" t="s">
        <v>86</v>
      </c>
      <c r="AE57" s="301"/>
      <c r="AF57" s="301"/>
      <c r="AG57" s="301"/>
      <c r="AH57" s="319">
        <v>3</v>
      </c>
      <c r="AI57" s="297" t="str">
        <f>_xlfn.IFERROR(VLOOKUP(AH57,HⅠ,2,0),"")</f>
        <v>あやめ池</v>
      </c>
      <c r="AJ57" s="297"/>
      <c r="AK57" s="297"/>
      <c r="AL57" s="297"/>
      <c r="AM57" s="297"/>
      <c r="AN57" s="373">
        <f>IF('時間表'!J53="","",'時間表'!J53)</f>
        <v>1</v>
      </c>
      <c r="AO57" s="373"/>
      <c r="AP57" s="356">
        <f>IF('時間表'!J54="","",'時間表'!J54)</f>
      </c>
      <c r="AQ57" s="357"/>
    </row>
    <row r="58" spans="1:43" ht="9" customHeight="1" thickBot="1">
      <c r="A58" s="26"/>
      <c r="B58" s="301"/>
      <c r="C58" s="301"/>
      <c r="D58" s="301"/>
      <c r="E58" s="301"/>
      <c r="F58" s="320"/>
      <c r="G58" s="296"/>
      <c r="H58" s="296"/>
      <c r="I58" s="296"/>
      <c r="J58" s="296"/>
      <c r="K58" s="296"/>
      <c r="L58" s="373"/>
      <c r="M58" s="373"/>
      <c r="N58" s="358"/>
      <c r="O58" s="359"/>
      <c r="P58" s="300"/>
      <c r="Q58" s="301"/>
      <c r="R58" s="301"/>
      <c r="S58" s="301"/>
      <c r="T58" s="320"/>
      <c r="U58" s="298"/>
      <c r="V58" s="298"/>
      <c r="W58" s="298"/>
      <c r="X58" s="298"/>
      <c r="Y58" s="298"/>
      <c r="Z58" s="373"/>
      <c r="AA58" s="373"/>
      <c r="AB58" s="358"/>
      <c r="AC58" s="359"/>
      <c r="AD58" s="300"/>
      <c r="AE58" s="301"/>
      <c r="AF58" s="301"/>
      <c r="AG58" s="301"/>
      <c r="AH58" s="320"/>
      <c r="AI58" s="298"/>
      <c r="AJ58" s="298"/>
      <c r="AK58" s="298"/>
      <c r="AL58" s="298"/>
      <c r="AM58" s="298"/>
      <c r="AN58" s="373"/>
      <c r="AO58" s="373"/>
      <c r="AP58" s="358"/>
      <c r="AQ58" s="359"/>
    </row>
    <row r="59" spans="1:43" ht="9" customHeight="1">
      <c r="A59" s="26"/>
      <c r="B59" s="31"/>
      <c r="C59" s="119"/>
      <c r="D59" s="46"/>
      <c r="E59" s="39"/>
      <c r="F59" s="39"/>
      <c r="G59" s="39"/>
      <c r="H59" s="40"/>
      <c r="I59" s="39"/>
      <c r="J59" s="41"/>
      <c r="K59" s="37"/>
      <c r="L59" s="39"/>
      <c r="M59" s="132"/>
      <c r="N59" s="400" t="s">
        <v>123</v>
      </c>
      <c r="O59" s="400"/>
      <c r="P59" s="46"/>
      <c r="Q59" s="131"/>
      <c r="R59" s="46"/>
      <c r="S59" s="39"/>
      <c r="T59" s="39"/>
      <c r="U59" s="39"/>
      <c r="V59" s="39"/>
      <c r="W59" s="39"/>
      <c r="X59" s="41"/>
      <c r="Y59" s="37"/>
      <c r="Z59" s="39"/>
      <c r="AA59" s="132"/>
      <c r="AB59" s="400" t="s">
        <v>123</v>
      </c>
      <c r="AC59" s="400"/>
      <c r="AD59" s="46"/>
      <c r="AE59" s="131"/>
      <c r="AF59" s="46"/>
      <c r="AG59" s="39"/>
      <c r="AH59" s="39"/>
      <c r="AI59" s="39"/>
      <c r="AJ59" s="39"/>
      <c r="AK59" s="39"/>
      <c r="AL59" s="41"/>
      <c r="AM59" s="37"/>
      <c r="AN59" s="39"/>
      <c r="AO59" s="132"/>
      <c r="AP59" s="400" t="s">
        <v>123</v>
      </c>
      <c r="AQ59" s="400"/>
    </row>
    <row r="60" spans="1:53" ht="9" customHeight="1">
      <c r="A60" s="26"/>
      <c r="B60" s="301" t="s">
        <v>82</v>
      </c>
      <c r="C60" s="301"/>
      <c r="D60" s="301"/>
      <c r="E60" s="301"/>
      <c r="F60" s="319">
        <v>1</v>
      </c>
      <c r="G60" s="295" t="str">
        <f>IF('時間表'!L52="","",VLOOKUP(F60,HⅡ,2,0))</f>
        <v>都南東市</v>
      </c>
      <c r="H60" s="295"/>
      <c r="I60" s="295"/>
      <c r="J60" s="295"/>
      <c r="K60" s="295"/>
      <c r="L60" s="373">
        <f>IF('時間表'!L57="","",'時間表'!L57)</f>
        <v>0</v>
      </c>
      <c r="M60" s="373"/>
      <c r="N60" s="356">
        <f>IF('時間表'!L58="","",'時間表'!L58)</f>
      </c>
      <c r="O60" s="357"/>
      <c r="P60" s="300" t="s">
        <v>85</v>
      </c>
      <c r="Q60" s="301"/>
      <c r="R60" s="301"/>
      <c r="S60" s="301"/>
      <c r="T60" s="319">
        <v>2</v>
      </c>
      <c r="U60" s="297" t="str">
        <f>_xlfn.IFERROR(VLOOKUP(T60,HⅡ,2,0),"")</f>
        <v>USFC</v>
      </c>
      <c r="V60" s="297"/>
      <c r="W60" s="297"/>
      <c r="X60" s="297"/>
      <c r="Y60" s="297"/>
      <c r="Z60" s="373">
        <f>IF('時間表'!L55="","",'時間表'!L55)</f>
        <v>1</v>
      </c>
      <c r="AA60" s="373"/>
      <c r="AB60" s="356">
        <f>IF('時間表'!L56="","",'時間表'!L56)</f>
      </c>
      <c r="AC60" s="357"/>
      <c r="AD60" s="300" t="s">
        <v>87</v>
      </c>
      <c r="AE60" s="301"/>
      <c r="AF60" s="301"/>
      <c r="AG60" s="301"/>
      <c r="AH60" s="319">
        <v>3</v>
      </c>
      <c r="AI60" s="297" t="str">
        <f>_xlfn.IFERROR(VLOOKUP(AH60,HⅡ,2,0),"")</f>
        <v>アーヴォリ</v>
      </c>
      <c r="AJ60" s="297"/>
      <c r="AK60" s="297"/>
      <c r="AL60" s="297"/>
      <c r="AM60" s="297"/>
      <c r="AN60" s="373">
        <f>IF('時間表'!L53="","",'時間表'!L53)</f>
        <v>0</v>
      </c>
      <c r="AO60" s="373"/>
      <c r="AP60" s="356">
        <f>IF('時間表'!L54="","",'時間表'!L54)</f>
      </c>
      <c r="AQ60" s="357"/>
      <c r="AR60" s="30"/>
      <c r="AS60" s="30"/>
      <c r="AT60" s="32"/>
      <c r="AU60" s="33"/>
      <c r="AV60" s="33"/>
      <c r="AW60" s="33"/>
      <c r="AX60" s="33"/>
      <c r="AY60" s="33"/>
      <c r="AZ60" s="33"/>
      <c r="BA60" s="33"/>
    </row>
    <row r="61" spans="1:53" ht="9" customHeight="1" thickBot="1">
      <c r="A61" s="26"/>
      <c r="B61" s="301"/>
      <c r="C61" s="301"/>
      <c r="D61" s="301"/>
      <c r="E61" s="301"/>
      <c r="F61" s="320"/>
      <c r="G61" s="296"/>
      <c r="H61" s="296"/>
      <c r="I61" s="296"/>
      <c r="J61" s="296"/>
      <c r="K61" s="296"/>
      <c r="L61" s="373"/>
      <c r="M61" s="373"/>
      <c r="N61" s="358"/>
      <c r="O61" s="359"/>
      <c r="P61" s="300"/>
      <c r="Q61" s="301"/>
      <c r="R61" s="301"/>
      <c r="S61" s="301"/>
      <c r="T61" s="320"/>
      <c r="U61" s="298"/>
      <c r="V61" s="298"/>
      <c r="W61" s="298"/>
      <c r="X61" s="298"/>
      <c r="Y61" s="298"/>
      <c r="Z61" s="373"/>
      <c r="AA61" s="373"/>
      <c r="AB61" s="358"/>
      <c r="AC61" s="359"/>
      <c r="AD61" s="300"/>
      <c r="AE61" s="301"/>
      <c r="AF61" s="301"/>
      <c r="AG61" s="301"/>
      <c r="AH61" s="320"/>
      <c r="AI61" s="298"/>
      <c r="AJ61" s="298"/>
      <c r="AK61" s="298"/>
      <c r="AL61" s="298"/>
      <c r="AM61" s="298"/>
      <c r="AN61" s="373"/>
      <c r="AO61" s="373"/>
      <c r="AP61" s="358"/>
      <c r="AQ61" s="359"/>
      <c r="AR61" s="30"/>
      <c r="AS61" s="30"/>
      <c r="AT61" s="32"/>
      <c r="AU61" s="33"/>
      <c r="AV61" s="33"/>
      <c r="AW61" s="33"/>
      <c r="AX61" s="33"/>
      <c r="AY61" s="33"/>
      <c r="AZ61" s="33"/>
      <c r="BA61" s="33"/>
    </row>
    <row r="62" spans="1:53" ht="9" customHeight="1">
      <c r="A62" s="26"/>
      <c r="B62" s="30"/>
      <c r="C62" s="30"/>
      <c r="D62" s="31"/>
      <c r="E62" s="31"/>
      <c r="F62" s="31"/>
      <c r="G62" s="31"/>
      <c r="H62" s="70"/>
      <c r="I62" s="42"/>
      <c r="J62" s="42"/>
      <c r="K62" s="42"/>
      <c r="L62" s="42"/>
      <c r="M62" s="42"/>
      <c r="N62" s="42"/>
      <c r="O62" s="42"/>
      <c r="P62" s="43"/>
      <c r="Q62" s="43"/>
      <c r="R62" s="78"/>
      <c r="S62" s="78"/>
      <c r="T62" s="78"/>
      <c r="U62" s="78"/>
      <c r="V62" s="70"/>
      <c r="W62" s="42"/>
      <c r="X62" s="42"/>
      <c r="Y62" s="42"/>
      <c r="Z62" s="42"/>
      <c r="AA62" s="42"/>
      <c r="AB62" s="42"/>
      <c r="AC62" s="42"/>
      <c r="AD62" s="43"/>
      <c r="AE62" s="43"/>
      <c r="AF62" s="78"/>
      <c r="AG62" s="78"/>
      <c r="AH62" s="78"/>
      <c r="AI62" s="78"/>
      <c r="AJ62" s="70"/>
      <c r="AK62" s="42"/>
      <c r="AL62" s="42"/>
      <c r="AM62" s="42"/>
      <c r="AN62" s="42"/>
      <c r="AO62" s="42"/>
      <c r="AP62" s="42"/>
      <c r="AQ62" s="42"/>
      <c r="AR62" s="30"/>
      <c r="AS62" s="30"/>
      <c r="AT62" s="32"/>
      <c r="AU62" s="33"/>
      <c r="AV62" s="33"/>
      <c r="AW62" s="33"/>
      <c r="AX62" s="33"/>
      <c r="AY62" s="33"/>
      <c r="AZ62" s="33"/>
      <c r="BA62" s="33"/>
    </row>
    <row r="63" spans="1:53" ht="9" customHeight="1">
      <c r="A63" s="26"/>
      <c r="B63" s="30"/>
      <c r="C63" s="30"/>
      <c r="D63" s="31"/>
      <c r="E63" s="31"/>
      <c r="F63" s="31"/>
      <c r="G63" s="31"/>
      <c r="H63" s="70"/>
      <c r="I63" s="42"/>
      <c r="J63" s="42"/>
      <c r="K63" s="42"/>
      <c r="L63" s="42"/>
      <c r="M63" s="42"/>
      <c r="N63" s="42"/>
      <c r="O63" s="42"/>
      <c r="P63" s="43"/>
      <c r="Q63" s="43"/>
      <c r="R63" s="78"/>
      <c r="S63" s="78"/>
      <c r="T63" s="78"/>
      <c r="U63" s="78"/>
      <c r="V63" s="70"/>
      <c r="W63" s="42"/>
      <c r="X63" s="42"/>
      <c r="Y63" s="42"/>
      <c r="Z63" s="42"/>
      <c r="AA63" s="42"/>
      <c r="AB63" s="42"/>
      <c r="AC63" s="42"/>
      <c r="AD63" s="43"/>
      <c r="AE63" s="43"/>
      <c r="AF63" s="78"/>
      <c r="AG63" s="78"/>
      <c r="AH63" s="78"/>
      <c r="AI63" s="78"/>
      <c r="AJ63" s="70"/>
      <c r="AK63" s="42"/>
      <c r="AL63" s="42"/>
      <c r="AM63" s="42"/>
      <c r="AN63" s="42"/>
      <c r="AO63" s="42"/>
      <c r="AP63" s="42"/>
      <c r="AQ63" s="42"/>
      <c r="AR63" s="30"/>
      <c r="AS63" s="30"/>
      <c r="AT63" s="32"/>
      <c r="AU63" s="33"/>
      <c r="AV63" s="33"/>
      <c r="AW63" s="33"/>
      <c r="AX63" s="33"/>
      <c r="AY63" s="33"/>
      <c r="AZ63" s="33"/>
      <c r="BA63" s="33"/>
    </row>
    <row r="64" spans="1:53" ht="9" customHeight="1">
      <c r="A64" s="26"/>
      <c r="B64" s="30"/>
      <c r="C64" s="30"/>
      <c r="D64" s="31"/>
      <c r="E64" s="31"/>
      <c r="F64" s="31"/>
      <c r="G64" s="31"/>
      <c r="H64" s="70"/>
      <c r="I64" s="42"/>
      <c r="J64" s="42"/>
      <c r="K64" s="42"/>
      <c r="L64" s="42"/>
      <c r="M64" s="42"/>
      <c r="N64" s="42"/>
      <c r="O64" s="42"/>
      <c r="P64" s="43"/>
      <c r="Q64" s="43"/>
      <c r="R64" s="78"/>
      <c r="S64" s="78"/>
      <c r="T64" s="78"/>
      <c r="U64" s="78"/>
      <c r="V64" s="70"/>
      <c r="W64" s="42"/>
      <c r="X64" s="42"/>
      <c r="Y64" s="42"/>
      <c r="Z64" s="42"/>
      <c r="AA64" s="42"/>
      <c r="AB64" s="42"/>
      <c r="AC64" s="42"/>
      <c r="AD64" s="43"/>
      <c r="AE64" s="43"/>
      <c r="AF64" s="78"/>
      <c r="AG64" s="78"/>
      <c r="AH64" s="78"/>
      <c r="AI64" s="78"/>
      <c r="AJ64" s="70"/>
      <c r="AK64" s="42"/>
      <c r="AL64" s="42"/>
      <c r="AM64" s="42"/>
      <c r="AN64" s="42"/>
      <c r="AO64" s="42"/>
      <c r="AP64" s="42"/>
      <c r="AQ64" s="42"/>
      <c r="AR64" s="30"/>
      <c r="AS64" s="30"/>
      <c r="AT64" s="32"/>
      <c r="AU64" s="33"/>
      <c r="AV64" s="33"/>
      <c r="AW64" s="33"/>
      <c r="AX64" s="33"/>
      <c r="AY64" s="33"/>
      <c r="AZ64" s="33"/>
      <c r="BA64" s="33"/>
    </row>
    <row r="65" spans="1:53" ht="9" customHeight="1">
      <c r="A65" s="26"/>
      <c r="B65" s="30"/>
      <c r="C65" s="30"/>
      <c r="D65" s="31"/>
      <c r="E65" s="31"/>
      <c r="F65" s="31"/>
      <c r="G65" s="31"/>
      <c r="H65" s="70"/>
      <c r="I65" s="42"/>
      <c r="J65" s="42"/>
      <c r="K65" s="42"/>
      <c r="L65" s="42"/>
      <c r="M65" s="42"/>
      <c r="N65" s="42"/>
      <c r="O65" s="42"/>
      <c r="P65" s="43"/>
      <c r="Q65" s="43"/>
      <c r="R65" s="78"/>
      <c r="S65" s="78"/>
      <c r="T65" s="78"/>
      <c r="U65" s="78"/>
      <c r="V65" s="70"/>
      <c r="W65" s="42"/>
      <c r="X65" s="42"/>
      <c r="Y65" s="42"/>
      <c r="Z65" s="42"/>
      <c r="AA65" s="42"/>
      <c r="AB65" s="42"/>
      <c r="AC65" s="42"/>
      <c r="AD65" s="43"/>
      <c r="AE65" s="43"/>
      <c r="AF65" s="78"/>
      <c r="AG65" s="78"/>
      <c r="AH65" s="78"/>
      <c r="AI65" s="78"/>
      <c r="AJ65" s="70"/>
      <c r="AK65" s="42"/>
      <c r="AL65" s="42"/>
      <c r="AM65" s="42"/>
      <c r="AN65" s="42"/>
      <c r="AO65" s="42"/>
      <c r="AP65" s="42"/>
      <c r="AQ65" s="42"/>
      <c r="AR65" s="30"/>
      <c r="AS65" s="30"/>
      <c r="AT65" s="32"/>
      <c r="AU65" s="33"/>
      <c r="AV65" s="33"/>
      <c r="AW65" s="33"/>
      <c r="AX65" s="33"/>
      <c r="AY65" s="33"/>
      <c r="AZ65" s="33"/>
      <c r="BA65" s="33"/>
    </row>
    <row r="66" spans="2:21" ht="9" customHeight="1">
      <c r="B66" s="307" t="s">
        <v>92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</row>
    <row r="67" spans="2:21" ht="9" customHeight="1"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</row>
    <row r="69" spans="2:43" ht="12" customHeight="1">
      <c r="B69" s="468"/>
      <c r="C69" s="460"/>
      <c r="D69" s="460"/>
      <c r="E69" s="460"/>
      <c r="F69" s="460"/>
      <c r="G69" s="469"/>
      <c r="H69" s="456" t="s">
        <v>90</v>
      </c>
      <c r="I69" s="457"/>
      <c r="J69" s="460">
        <v>1</v>
      </c>
      <c r="K69" s="460"/>
      <c r="L69" s="462" t="s">
        <v>91</v>
      </c>
      <c r="M69" s="463"/>
      <c r="N69" s="456" t="s">
        <v>90</v>
      </c>
      <c r="O69" s="457"/>
      <c r="P69" s="460">
        <v>2</v>
      </c>
      <c r="Q69" s="460"/>
      <c r="R69" s="462" t="s">
        <v>91</v>
      </c>
      <c r="S69" s="463"/>
      <c r="T69" s="456" t="s">
        <v>90</v>
      </c>
      <c r="U69" s="457"/>
      <c r="V69" s="460">
        <v>3</v>
      </c>
      <c r="W69" s="460"/>
      <c r="X69" s="462" t="s">
        <v>91</v>
      </c>
      <c r="Y69" s="463"/>
      <c r="Z69" s="456" t="s">
        <v>90</v>
      </c>
      <c r="AA69" s="457"/>
      <c r="AB69" s="460">
        <v>4</v>
      </c>
      <c r="AC69" s="460"/>
      <c r="AD69" s="462" t="s">
        <v>91</v>
      </c>
      <c r="AE69" s="463"/>
      <c r="AF69" s="456" t="s">
        <v>90</v>
      </c>
      <c r="AG69" s="457"/>
      <c r="AH69" s="460">
        <v>5</v>
      </c>
      <c r="AI69" s="460"/>
      <c r="AJ69" s="462" t="s">
        <v>91</v>
      </c>
      <c r="AK69" s="463"/>
      <c r="AL69" s="456" t="s">
        <v>90</v>
      </c>
      <c r="AM69" s="457"/>
      <c r="AN69" s="460">
        <v>6</v>
      </c>
      <c r="AO69" s="460"/>
      <c r="AP69" s="462" t="s">
        <v>91</v>
      </c>
      <c r="AQ69" s="463"/>
    </row>
    <row r="70" spans="2:43" ht="12" customHeight="1">
      <c r="B70" s="470"/>
      <c r="C70" s="461"/>
      <c r="D70" s="461"/>
      <c r="E70" s="461"/>
      <c r="F70" s="461"/>
      <c r="G70" s="471"/>
      <c r="H70" s="458"/>
      <c r="I70" s="459"/>
      <c r="J70" s="461"/>
      <c r="K70" s="461"/>
      <c r="L70" s="464"/>
      <c r="M70" s="465"/>
      <c r="N70" s="458"/>
      <c r="O70" s="459"/>
      <c r="P70" s="461"/>
      <c r="Q70" s="461"/>
      <c r="R70" s="464"/>
      <c r="S70" s="465"/>
      <c r="T70" s="458"/>
      <c r="U70" s="459"/>
      <c r="V70" s="461"/>
      <c r="W70" s="461"/>
      <c r="X70" s="464"/>
      <c r="Y70" s="465"/>
      <c r="Z70" s="458"/>
      <c r="AA70" s="459"/>
      <c r="AB70" s="461"/>
      <c r="AC70" s="461"/>
      <c r="AD70" s="464"/>
      <c r="AE70" s="465"/>
      <c r="AF70" s="458"/>
      <c r="AG70" s="459"/>
      <c r="AH70" s="461"/>
      <c r="AI70" s="461"/>
      <c r="AJ70" s="464"/>
      <c r="AK70" s="465"/>
      <c r="AL70" s="458"/>
      <c r="AM70" s="459"/>
      <c r="AN70" s="461"/>
      <c r="AO70" s="461"/>
      <c r="AP70" s="464"/>
      <c r="AQ70" s="465"/>
    </row>
    <row r="71" spans="2:43" ht="12" customHeight="1">
      <c r="B71" s="468" t="s">
        <v>107</v>
      </c>
      <c r="C71" s="460"/>
      <c r="D71" s="460"/>
      <c r="E71" s="460"/>
      <c r="F71" s="460"/>
      <c r="G71" s="469"/>
      <c r="H71" s="350" t="str">
        <f>_xlfn.IFERROR(VLOOKUP(J69,Aグループ,2,0),"")</f>
        <v>奈良YMCA</v>
      </c>
      <c r="I71" s="351"/>
      <c r="J71" s="351"/>
      <c r="K71" s="351"/>
      <c r="L71" s="351"/>
      <c r="M71" s="351"/>
      <c r="N71" s="350" t="str">
        <f>_xlfn.IFERROR(VLOOKUP(P69,Aグループ,2,0),"")</f>
        <v>三　笠</v>
      </c>
      <c r="O71" s="351"/>
      <c r="P71" s="351"/>
      <c r="Q71" s="351"/>
      <c r="R71" s="351"/>
      <c r="S71" s="351"/>
      <c r="T71" s="350" t="str">
        <f>_xlfn.IFERROR(VLOOKUP(V69,Aグループ,2,0),"")</f>
        <v>矢　倉</v>
      </c>
      <c r="U71" s="351"/>
      <c r="V71" s="351"/>
      <c r="W71" s="351"/>
      <c r="X71" s="351"/>
      <c r="Y71" s="351"/>
      <c r="Z71" s="350" t="str">
        <f>_xlfn.IFERROR(VLOOKUP(AB69,Aグループ,2,0),"")</f>
        <v>石　津</v>
      </c>
      <c r="AA71" s="351"/>
      <c r="AB71" s="351"/>
      <c r="AC71" s="351"/>
      <c r="AD71" s="351"/>
      <c r="AE71" s="351"/>
      <c r="AF71" s="350" t="str">
        <f>_xlfn.IFERROR(VLOOKUP(AH69,Aグループ,2,0),"")</f>
        <v>白　鷺</v>
      </c>
      <c r="AG71" s="351"/>
      <c r="AH71" s="351"/>
      <c r="AI71" s="351"/>
      <c r="AJ71" s="351"/>
      <c r="AK71" s="351"/>
      <c r="AL71" s="350" t="str">
        <f>_xlfn.IFERROR(VLOOKUP(AN69,Aグループ,2,0),"")</f>
        <v>下　田</v>
      </c>
      <c r="AM71" s="351"/>
      <c r="AN71" s="351"/>
      <c r="AO71" s="351"/>
      <c r="AP71" s="351"/>
      <c r="AQ71" s="354"/>
    </row>
    <row r="72" spans="2:43" ht="12" customHeight="1">
      <c r="B72" s="470"/>
      <c r="C72" s="461"/>
      <c r="D72" s="461"/>
      <c r="E72" s="461"/>
      <c r="F72" s="461"/>
      <c r="G72" s="471"/>
      <c r="H72" s="466"/>
      <c r="I72" s="467"/>
      <c r="J72" s="467"/>
      <c r="K72" s="467"/>
      <c r="L72" s="467"/>
      <c r="M72" s="467"/>
      <c r="N72" s="466"/>
      <c r="O72" s="467"/>
      <c r="P72" s="467"/>
      <c r="Q72" s="467"/>
      <c r="R72" s="467"/>
      <c r="S72" s="467"/>
      <c r="T72" s="466"/>
      <c r="U72" s="467"/>
      <c r="V72" s="467"/>
      <c r="W72" s="467"/>
      <c r="X72" s="467"/>
      <c r="Y72" s="467"/>
      <c r="Z72" s="466"/>
      <c r="AA72" s="467"/>
      <c r="AB72" s="467"/>
      <c r="AC72" s="467"/>
      <c r="AD72" s="467"/>
      <c r="AE72" s="467"/>
      <c r="AF72" s="466"/>
      <c r="AG72" s="467"/>
      <c r="AH72" s="467"/>
      <c r="AI72" s="467"/>
      <c r="AJ72" s="467"/>
      <c r="AK72" s="467"/>
      <c r="AL72" s="466"/>
      <c r="AM72" s="437"/>
      <c r="AN72" s="437"/>
      <c r="AO72" s="437"/>
      <c r="AP72" s="437"/>
      <c r="AQ72" s="438"/>
    </row>
    <row r="73" spans="2:43" ht="12" customHeight="1">
      <c r="B73" s="468" t="s">
        <v>108</v>
      </c>
      <c r="C73" s="460"/>
      <c r="D73" s="460"/>
      <c r="E73" s="460"/>
      <c r="F73" s="460"/>
      <c r="G73" s="469"/>
      <c r="H73" s="350" t="str">
        <f>_xlfn.IFERROR(VLOOKUP(J69,Bグループ,2,0),"")</f>
        <v>ﾃﾞｨｱﾌﾞﾛｯｻ高田</v>
      </c>
      <c r="I73" s="351"/>
      <c r="J73" s="351"/>
      <c r="K73" s="351"/>
      <c r="L73" s="351"/>
      <c r="M73" s="351"/>
      <c r="N73" s="350" t="str">
        <f>_xlfn.IFERROR(VLOOKUP(P69,Bグループ,2,0),"")</f>
        <v>GINGA</v>
      </c>
      <c r="O73" s="351"/>
      <c r="P73" s="351"/>
      <c r="Q73" s="351"/>
      <c r="R73" s="351"/>
      <c r="S73" s="351"/>
      <c r="T73" s="350" t="str">
        <f>_xlfn.IFERROR(VLOOKUP(V69,Bグループ,2,0),"")</f>
        <v>生野朝鮮初級</v>
      </c>
      <c r="U73" s="351"/>
      <c r="V73" s="351"/>
      <c r="W73" s="351"/>
      <c r="X73" s="351"/>
      <c r="Y73" s="351"/>
      <c r="Z73" s="350" t="str">
        <f>_xlfn.IFERROR(VLOOKUP(AB69,Bグループ,2,0),"")</f>
        <v>朱　雀</v>
      </c>
      <c r="AA73" s="351"/>
      <c r="AB73" s="351"/>
      <c r="AC73" s="351"/>
      <c r="AD73" s="351"/>
      <c r="AE73" s="351"/>
      <c r="AF73" s="350" t="str">
        <f>_xlfn.IFERROR(VLOOKUP(AH69,Bグループ,2,0),"")</f>
        <v>鳥　見</v>
      </c>
      <c r="AG73" s="351"/>
      <c r="AH73" s="351"/>
      <c r="AI73" s="351"/>
      <c r="AJ73" s="351"/>
      <c r="AK73" s="351"/>
      <c r="AL73" s="350" t="str">
        <f>_xlfn.IFERROR(VLOOKUP(AN69,Bグループ,2,0),"")</f>
        <v>岩出市</v>
      </c>
      <c r="AM73" s="351"/>
      <c r="AN73" s="351"/>
      <c r="AO73" s="351"/>
      <c r="AP73" s="351"/>
      <c r="AQ73" s="354"/>
    </row>
    <row r="74" spans="2:43" ht="12" customHeight="1">
      <c r="B74" s="470"/>
      <c r="C74" s="461"/>
      <c r="D74" s="461"/>
      <c r="E74" s="461"/>
      <c r="F74" s="461"/>
      <c r="G74" s="471"/>
      <c r="H74" s="466"/>
      <c r="I74" s="467"/>
      <c r="J74" s="467"/>
      <c r="K74" s="467"/>
      <c r="L74" s="467"/>
      <c r="M74" s="467"/>
      <c r="N74" s="466"/>
      <c r="O74" s="467"/>
      <c r="P74" s="467"/>
      <c r="Q74" s="467"/>
      <c r="R74" s="467"/>
      <c r="S74" s="467"/>
      <c r="T74" s="466"/>
      <c r="U74" s="467"/>
      <c r="V74" s="467"/>
      <c r="W74" s="467"/>
      <c r="X74" s="467"/>
      <c r="Y74" s="467"/>
      <c r="Z74" s="466"/>
      <c r="AA74" s="467"/>
      <c r="AB74" s="467"/>
      <c r="AC74" s="467"/>
      <c r="AD74" s="467"/>
      <c r="AE74" s="467"/>
      <c r="AF74" s="466"/>
      <c r="AG74" s="467"/>
      <c r="AH74" s="467"/>
      <c r="AI74" s="467"/>
      <c r="AJ74" s="467"/>
      <c r="AK74" s="467"/>
      <c r="AL74" s="466"/>
      <c r="AM74" s="437"/>
      <c r="AN74" s="437"/>
      <c r="AO74" s="437"/>
      <c r="AP74" s="437"/>
      <c r="AQ74" s="438"/>
    </row>
    <row r="75" spans="2:43" ht="12" customHeight="1">
      <c r="B75" s="468" t="s">
        <v>109</v>
      </c>
      <c r="C75" s="460"/>
      <c r="D75" s="460"/>
      <c r="E75" s="460"/>
      <c r="F75" s="460"/>
      <c r="G75" s="469"/>
      <c r="H75" s="350" t="str">
        <f>_xlfn.IFERROR(VLOOKUP(J69,Cグループ,2,0),"")</f>
        <v>泉</v>
      </c>
      <c r="I75" s="351"/>
      <c r="J75" s="351"/>
      <c r="K75" s="351"/>
      <c r="L75" s="351"/>
      <c r="M75" s="351"/>
      <c r="N75" s="350" t="str">
        <f>_xlfn.IFERROR(VLOOKUP(P69,Cグループ,2,0),"")</f>
        <v>奈良FCjr</v>
      </c>
      <c r="O75" s="351"/>
      <c r="P75" s="351"/>
      <c r="Q75" s="351"/>
      <c r="R75" s="351"/>
      <c r="S75" s="351"/>
      <c r="T75" s="350" t="str">
        <f>_xlfn.IFERROR(VLOOKUP(V69,Cグループ,2,0),"")</f>
        <v>門真北風</v>
      </c>
      <c r="U75" s="351"/>
      <c r="V75" s="351"/>
      <c r="W75" s="351"/>
      <c r="X75" s="351"/>
      <c r="Y75" s="351"/>
      <c r="Z75" s="350" t="str">
        <f>_xlfn.IFERROR(VLOOKUP(AB69,Cグループ,2,0),"")</f>
        <v>滋賀ｾﾝﾄﾗﾙ</v>
      </c>
      <c r="AA75" s="351"/>
      <c r="AB75" s="351"/>
      <c r="AC75" s="351"/>
      <c r="AD75" s="351"/>
      <c r="AE75" s="351"/>
      <c r="AF75" s="350" t="str">
        <f>_xlfn.IFERROR(VLOOKUP(AH69,Cグループ,2,0),"")</f>
        <v>柏原キッズ</v>
      </c>
      <c r="AG75" s="351"/>
      <c r="AH75" s="351"/>
      <c r="AI75" s="351"/>
      <c r="AJ75" s="351"/>
      <c r="AK75" s="351"/>
      <c r="AL75" s="350" t="str">
        <f>_xlfn.IFERROR(VLOOKUP(AN69,Cグループ,2,0),"")</f>
        <v>富雄第三</v>
      </c>
      <c r="AM75" s="351"/>
      <c r="AN75" s="351"/>
      <c r="AO75" s="351"/>
      <c r="AP75" s="351"/>
      <c r="AQ75" s="354"/>
    </row>
    <row r="76" spans="2:43" ht="12" customHeight="1">
      <c r="B76" s="470"/>
      <c r="C76" s="461"/>
      <c r="D76" s="461"/>
      <c r="E76" s="461"/>
      <c r="F76" s="461"/>
      <c r="G76" s="471"/>
      <c r="H76" s="466"/>
      <c r="I76" s="467"/>
      <c r="J76" s="467"/>
      <c r="K76" s="467"/>
      <c r="L76" s="467"/>
      <c r="M76" s="467"/>
      <c r="N76" s="466"/>
      <c r="O76" s="467"/>
      <c r="P76" s="467"/>
      <c r="Q76" s="467"/>
      <c r="R76" s="467"/>
      <c r="S76" s="467"/>
      <c r="T76" s="466"/>
      <c r="U76" s="467"/>
      <c r="V76" s="467"/>
      <c r="W76" s="467"/>
      <c r="X76" s="467"/>
      <c r="Y76" s="467"/>
      <c r="Z76" s="466"/>
      <c r="AA76" s="467"/>
      <c r="AB76" s="467"/>
      <c r="AC76" s="467"/>
      <c r="AD76" s="467"/>
      <c r="AE76" s="467"/>
      <c r="AF76" s="466"/>
      <c r="AG76" s="467"/>
      <c r="AH76" s="467"/>
      <c r="AI76" s="467"/>
      <c r="AJ76" s="467"/>
      <c r="AK76" s="467"/>
      <c r="AL76" s="352"/>
      <c r="AM76" s="353"/>
      <c r="AN76" s="353"/>
      <c r="AO76" s="353"/>
      <c r="AP76" s="353"/>
      <c r="AQ76" s="355"/>
    </row>
    <row r="77" spans="2:43" ht="12" customHeight="1">
      <c r="B77" s="468" t="s">
        <v>110</v>
      </c>
      <c r="C77" s="460"/>
      <c r="D77" s="460"/>
      <c r="E77" s="460"/>
      <c r="F77" s="460"/>
      <c r="G77" s="469"/>
      <c r="H77" s="350" t="str">
        <f>_xlfn.IFERROR(VLOOKUP(J69,Dグループ,2,0),"")</f>
        <v>高石中央</v>
      </c>
      <c r="I77" s="351"/>
      <c r="J77" s="351"/>
      <c r="K77" s="351"/>
      <c r="L77" s="351"/>
      <c r="M77" s="351"/>
      <c r="N77" s="350" t="str">
        <f>_xlfn.IFERROR(VLOOKUP(P69,Dグループ,2,0),"")</f>
        <v>FCうりぼう</v>
      </c>
      <c r="O77" s="351"/>
      <c r="P77" s="351"/>
      <c r="Q77" s="351"/>
      <c r="R77" s="351"/>
      <c r="S77" s="351"/>
      <c r="T77" s="350" t="str">
        <f>_xlfn.IFERROR(VLOOKUP(V69,Dグループ,2,0),"")</f>
        <v>CAOS</v>
      </c>
      <c r="U77" s="351"/>
      <c r="V77" s="351"/>
      <c r="W77" s="351"/>
      <c r="X77" s="351"/>
      <c r="Y77" s="351"/>
      <c r="Z77" s="350" t="str">
        <f>_xlfn.IFERROR(VLOOKUP(AB69,Dグループ,2,0),"")</f>
        <v>センチュリー</v>
      </c>
      <c r="AA77" s="351"/>
      <c r="AB77" s="351"/>
      <c r="AC77" s="351"/>
      <c r="AD77" s="351"/>
      <c r="AE77" s="351"/>
      <c r="AF77" s="350" t="str">
        <f>_xlfn.IFERROR(VLOOKUP(AH69,Dグループ,2,0),"")</f>
        <v>富　雄</v>
      </c>
      <c r="AG77" s="351"/>
      <c r="AH77" s="351"/>
      <c r="AI77" s="351"/>
      <c r="AJ77" s="351"/>
      <c r="AK77" s="351"/>
      <c r="AL77" s="350" t="str">
        <f>_xlfn.IFERROR(VLOOKUP(AN69,Dグループ,2,0),"")</f>
        <v>アルボーレ</v>
      </c>
      <c r="AM77" s="351"/>
      <c r="AN77" s="351"/>
      <c r="AO77" s="351"/>
      <c r="AP77" s="351"/>
      <c r="AQ77" s="354"/>
    </row>
    <row r="78" spans="2:43" ht="12" customHeight="1">
      <c r="B78" s="470"/>
      <c r="C78" s="461"/>
      <c r="D78" s="461"/>
      <c r="E78" s="461"/>
      <c r="F78" s="461"/>
      <c r="G78" s="471"/>
      <c r="H78" s="466"/>
      <c r="I78" s="467"/>
      <c r="J78" s="467"/>
      <c r="K78" s="467"/>
      <c r="L78" s="467"/>
      <c r="M78" s="467"/>
      <c r="N78" s="466"/>
      <c r="O78" s="467"/>
      <c r="P78" s="467"/>
      <c r="Q78" s="467"/>
      <c r="R78" s="467"/>
      <c r="S78" s="467"/>
      <c r="T78" s="466"/>
      <c r="U78" s="467"/>
      <c r="V78" s="467"/>
      <c r="W78" s="467"/>
      <c r="X78" s="467"/>
      <c r="Y78" s="467"/>
      <c r="Z78" s="466"/>
      <c r="AA78" s="467"/>
      <c r="AB78" s="467"/>
      <c r="AC78" s="467"/>
      <c r="AD78" s="467"/>
      <c r="AE78" s="467"/>
      <c r="AF78" s="466"/>
      <c r="AG78" s="467"/>
      <c r="AH78" s="467"/>
      <c r="AI78" s="467"/>
      <c r="AJ78" s="467"/>
      <c r="AK78" s="467"/>
      <c r="AL78" s="352"/>
      <c r="AM78" s="353"/>
      <c r="AN78" s="353"/>
      <c r="AO78" s="353"/>
      <c r="AP78" s="353"/>
      <c r="AQ78" s="355"/>
    </row>
    <row r="79" spans="2:43" ht="12" customHeight="1">
      <c r="B79" s="468" t="s">
        <v>111</v>
      </c>
      <c r="C79" s="460"/>
      <c r="D79" s="460"/>
      <c r="E79" s="460"/>
      <c r="F79" s="460"/>
      <c r="G79" s="469"/>
      <c r="H79" s="350" t="str">
        <f>_xlfn.IFERROR(VLOOKUP(J69,Eグループ,2,0),"")</f>
        <v>柏　田</v>
      </c>
      <c r="I79" s="351"/>
      <c r="J79" s="351"/>
      <c r="K79" s="351"/>
      <c r="L79" s="351"/>
      <c r="M79" s="351"/>
      <c r="N79" s="350" t="str">
        <f>_xlfn.IFERROR(VLOOKUP(P69,Eグループ,2,0),"")</f>
        <v>ﾃﾞｨｱﾌﾞﾛｯｻ大阪</v>
      </c>
      <c r="O79" s="351"/>
      <c r="P79" s="351"/>
      <c r="Q79" s="351"/>
      <c r="R79" s="351"/>
      <c r="S79" s="351"/>
      <c r="T79" s="350" t="str">
        <f>_xlfn.IFERROR(VLOOKUP(V69,Eグループ,2,0),"")</f>
        <v>高　市</v>
      </c>
      <c r="U79" s="351"/>
      <c r="V79" s="351"/>
      <c r="W79" s="351"/>
      <c r="X79" s="351"/>
      <c r="Y79" s="351"/>
      <c r="Z79" s="350" t="str">
        <f>_xlfn.IFERROR(VLOOKUP(AB69,Eグループ,2,0),"")</f>
        <v>金　田</v>
      </c>
      <c r="AA79" s="351"/>
      <c r="AB79" s="351"/>
      <c r="AC79" s="351"/>
      <c r="AD79" s="351"/>
      <c r="AE79" s="351"/>
      <c r="AF79" s="350" t="str">
        <f>_xlfn.IFERROR(VLOOKUP(AH69,Eグループ,2,0),"")</f>
        <v>ディスパーロ</v>
      </c>
      <c r="AG79" s="351"/>
      <c r="AH79" s="351"/>
      <c r="AI79" s="351"/>
      <c r="AJ79" s="351"/>
      <c r="AK79" s="351"/>
      <c r="AL79" s="350" t="str">
        <f>_xlfn.IFERROR(VLOOKUP(AN69,Eグループ,2,0),"")</f>
        <v>辰　市</v>
      </c>
      <c r="AM79" s="351"/>
      <c r="AN79" s="351"/>
      <c r="AO79" s="351"/>
      <c r="AP79" s="351"/>
      <c r="AQ79" s="354"/>
    </row>
    <row r="80" spans="2:43" ht="12" customHeight="1">
      <c r="B80" s="470"/>
      <c r="C80" s="461"/>
      <c r="D80" s="461"/>
      <c r="E80" s="461"/>
      <c r="F80" s="461"/>
      <c r="G80" s="471"/>
      <c r="H80" s="466"/>
      <c r="I80" s="467"/>
      <c r="J80" s="467"/>
      <c r="K80" s="467"/>
      <c r="L80" s="467"/>
      <c r="M80" s="467"/>
      <c r="N80" s="466"/>
      <c r="O80" s="467"/>
      <c r="P80" s="467"/>
      <c r="Q80" s="467"/>
      <c r="R80" s="467"/>
      <c r="S80" s="467"/>
      <c r="T80" s="466"/>
      <c r="U80" s="467"/>
      <c r="V80" s="467"/>
      <c r="W80" s="467"/>
      <c r="X80" s="467"/>
      <c r="Y80" s="467"/>
      <c r="Z80" s="466"/>
      <c r="AA80" s="467"/>
      <c r="AB80" s="467"/>
      <c r="AC80" s="467"/>
      <c r="AD80" s="467"/>
      <c r="AE80" s="467"/>
      <c r="AF80" s="466"/>
      <c r="AG80" s="467"/>
      <c r="AH80" s="467"/>
      <c r="AI80" s="467"/>
      <c r="AJ80" s="467"/>
      <c r="AK80" s="467"/>
      <c r="AL80" s="352"/>
      <c r="AM80" s="353"/>
      <c r="AN80" s="353"/>
      <c r="AO80" s="353"/>
      <c r="AP80" s="353"/>
      <c r="AQ80" s="355"/>
    </row>
    <row r="81" spans="2:43" ht="12" customHeight="1">
      <c r="B81" s="468" t="s">
        <v>112</v>
      </c>
      <c r="C81" s="460"/>
      <c r="D81" s="460"/>
      <c r="E81" s="460"/>
      <c r="F81" s="460"/>
      <c r="G81" s="469"/>
      <c r="H81" s="350" t="str">
        <f>_xlfn.IFERROR(VLOOKUP(J69,Fグループ,2,0),"")</f>
        <v>Del Sole Shiki</v>
      </c>
      <c r="I81" s="351"/>
      <c r="J81" s="351"/>
      <c r="K81" s="351"/>
      <c r="L81" s="351"/>
      <c r="M81" s="351"/>
      <c r="N81" s="350" t="str">
        <f>_xlfn.IFERROR(VLOOKUP(P69,Fグループ,2,0),"")</f>
        <v>エルマーノ大阪</v>
      </c>
      <c r="O81" s="351"/>
      <c r="P81" s="351"/>
      <c r="Q81" s="351"/>
      <c r="R81" s="351"/>
      <c r="S81" s="351"/>
      <c r="T81" s="350" t="str">
        <f>_xlfn.IFERROR(VLOOKUP(V69,Fグループ,2,0),"")</f>
        <v>ﾊﾟﾙﾃｨｰﾀﾞ生駒</v>
      </c>
      <c r="U81" s="351"/>
      <c r="V81" s="351"/>
      <c r="W81" s="351"/>
      <c r="X81" s="351"/>
      <c r="Y81" s="351"/>
      <c r="Z81" s="350" t="str">
        <f>_xlfn.IFERROR(VLOOKUP(AB69,Fグループ,2,0),"")</f>
        <v>蔵　持</v>
      </c>
      <c r="AA81" s="351"/>
      <c r="AB81" s="351"/>
      <c r="AC81" s="351"/>
      <c r="AD81" s="351"/>
      <c r="AE81" s="351"/>
      <c r="AF81" s="350" t="str">
        <f>_xlfn.IFERROR(VLOOKUP(AH69,Fグループ,2,0),"")</f>
        <v>奈良伏見</v>
      </c>
      <c r="AG81" s="351"/>
      <c r="AH81" s="351"/>
      <c r="AI81" s="351"/>
      <c r="AJ81" s="351"/>
      <c r="AK81" s="351"/>
      <c r="AL81" s="350" t="str">
        <f>_xlfn.IFERROR(VLOOKUP(AN69,Fグループ,2,0),"")</f>
        <v>明　治</v>
      </c>
      <c r="AM81" s="351"/>
      <c r="AN81" s="351"/>
      <c r="AO81" s="351"/>
      <c r="AP81" s="351"/>
      <c r="AQ81" s="354"/>
    </row>
    <row r="82" spans="2:43" ht="12" customHeight="1">
      <c r="B82" s="470"/>
      <c r="C82" s="461"/>
      <c r="D82" s="461"/>
      <c r="E82" s="461"/>
      <c r="F82" s="461"/>
      <c r="G82" s="471"/>
      <c r="H82" s="466"/>
      <c r="I82" s="467"/>
      <c r="J82" s="467"/>
      <c r="K82" s="467"/>
      <c r="L82" s="467"/>
      <c r="M82" s="467"/>
      <c r="N82" s="466"/>
      <c r="O82" s="467"/>
      <c r="P82" s="467"/>
      <c r="Q82" s="467"/>
      <c r="R82" s="467"/>
      <c r="S82" s="467"/>
      <c r="T82" s="466"/>
      <c r="U82" s="467"/>
      <c r="V82" s="467"/>
      <c r="W82" s="467"/>
      <c r="X82" s="467"/>
      <c r="Y82" s="467"/>
      <c r="Z82" s="466"/>
      <c r="AA82" s="467"/>
      <c r="AB82" s="467"/>
      <c r="AC82" s="467"/>
      <c r="AD82" s="467"/>
      <c r="AE82" s="467"/>
      <c r="AF82" s="466"/>
      <c r="AG82" s="467"/>
      <c r="AH82" s="467"/>
      <c r="AI82" s="467"/>
      <c r="AJ82" s="467"/>
      <c r="AK82" s="467"/>
      <c r="AL82" s="466"/>
      <c r="AM82" s="437"/>
      <c r="AN82" s="437"/>
      <c r="AO82" s="437"/>
      <c r="AP82" s="437"/>
      <c r="AQ82" s="438"/>
    </row>
    <row r="83" spans="2:43" ht="12" customHeight="1">
      <c r="B83" s="468" t="s">
        <v>113</v>
      </c>
      <c r="C83" s="460"/>
      <c r="D83" s="460"/>
      <c r="E83" s="460"/>
      <c r="F83" s="460"/>
      <c r="G83" s="469"/>
      <c r="H83" s="350" t="str">
        <f>_xlfn.IFERROR(VLOOKUP(J69,Gグループ,2,0),"")</f>
        <v>野　畑</v>
      </c>
      <c r="I83" s="351"/>
      <c r="J83" s="351"/>
      <c r="K83" s="351"/>
      <c r="L83" s="351"/>
      <c r="M83" s="351"/>
      <c r="N83" s="350" t="str">
        <f>_xlfn.IFERROR(VLOOKUP(P69,Gグループ,2,0),"")</f>
        <v>ひじり</v>
      </c>
      <c r="O83" s="351"/>
      <c r="P83" s="351"/>
      <c r="Q83" s="351"/>
      <c r="R83" s="351"/>
      <c r="S83" s="351"/>
      <c r="T83" s="350" t="str">
        <f>_xlfn.IFERROR(VLOOKUP(V69,Gグループ,2,0),"")</f>
        <v>桜　井</v>
      </c>
      <c r="U83" s="351"/>
      <c r="V83" s="351"/>
      <c r="W83" s="351"/>
      <c r="X83" s="351"/>
      <c r="Y83" s="351"/>
      <c r="Z83" s="350" t="str">
        <f>_xlfn.IFERROR(VLOOKUP(AB69,Gグループ,2,0),"")</f>
        <v>大　原</v>
      </c>
      <c r="AA83" s="351"/>
      <c r="AB83" s="351"/>
      <c r="AC83" s="351"/>
      <c r="AD83" s="351"/>
      <c r="AE83" s="351"/>
      <c r="AF83" s="350" t="str">
        <f>_xlfn.IFERROR(VLOOKUP(AH69,Gグループ,2,0),"")</f>
        <v>六　条</v>
      </c>
      <c r="AG83" s="351"/>
      <c r="AH83" s="351"/>
      <c r="AI83" s="351"/>
      <c r="AJ83" s="351"/>
      <c r="AK83" s="351"/>
      <c r="AL83" s="350" t="str">
        <f>_xlfn.IFERROR(VLOOKUP(AN69,Gグループ,2,0),"")</f>
        <v>ｿﾚｽﾃﾚｰｼﾞｬ</v>
      </c>
      <c r="AM83" s="351"/>
      <c r="AN83" s="351"/>
      <c r="AO83" s="351"/>
      <c r="AP83" s="351"/>
      <c r="AQ83" s="354"/>
    </row>
    <row r="84" spans="2:43" ht="12" customHeight="1">
      <c r="B84" s="470"/>
      <c r="C84" s="461"/>
      <c r="D84" s="461"/>
      <c r="E84" s="461"/>
      <c r="F84" s="461"/>
      <c r="G84" s="471"/>
      <c r="H84" s="466"/>
      <c r="I84" s="467"/>
      <c r="J84" s="467"/>
      <c r="K84" s="467"/>
      <c r="L84" s="467"/>
      <c r="M84" s="467"/>
      <c r="N84" s="466"/>
      <c r="O84" s="467"/>
      <c r="P84" s="467"/>
      <c r="Q84" s="467"/>
      <c r="R84" s="467"/>
      <c r="S84" s="467"/>
      <c r="T84" s="466"/>
      <c r="U84" s="467"/>
      <c r="V84" s="467"/>
      <c r="W84" s="467"/>
      <c r="X84" s="467"/>
      <c r="Y84" s="467"/>
      <c r="Z84" s="466"/>
      <c r="AA84" s="467"/>
      <c r="AB84" s="467"/>
      <c r="AC84" s="467"/>
      <c r="AD84" s="467"/>
      <c r="AE84" s="467"/>
      <c r="AF84" s="466"/>
      <c r="AG84" s="467"/>
      <c r="AH84" s="467"/>
      <c r="AI84" s="467"/>
      <c r="AJ84" s="467"/>
      <c r="AK84" s="467"/>
      <c r="AL84" s="352"/>
      <c r="AM84" s="353"/>
      <c r="AN84" s="353"/>
      <c r="AO84" s="353"/>
      <c r="AP84" s="353"/>
      <c r="AQ84" s="355"/>
    </row>
    <row r="85" spans="2:43" ht="12" customHeight="1">
      <c r="B85" s="468" t="s">
        <v>114</v>
      </c>
      <c r="C85" s="460"/>
      <c r="D85" s="460"/>
      <c r="E85" s="460"/>
      <c r="F85" s="460"/>
      <c r="G85" s="469"/>
      <c r="H85" s="350" t="str">
        <f>_xlfn.IFERROR(VLOOKUP(J69,Hグループ,2,0),"")</f>
        <v>STELO</v>
      </c>
      <c r="I85" s="351"/>
      <c r="J85" s="351"/>
      <c r="K85" s="351"/>
      <c r="L85" s="351"/>
      <c r="M85" s="354"/>
      <c r="N85" s="350" t="str">
        <f>_xlfn.IFERROR(VLOOKUP(P69,Hグループ,2,0),"")</f>
        <v>都南東市</v>
      </c>
      <c r="O85" s="351"/>
      <c r="P85" s="351"/>
      <c r="Q85" s="351"/>
      <c r="R85" s="351"/>
      <c r="S85" s="354"/>
      <c r="T85" s="350" t="str">
        <f>_xlfn.IFERROR(VLOOKUP(V69,Hグループ,2,0),"")</f>
        <v>水　戸</v>
      </c>
      <c r="U85" s="351"/>
      <c r="V85" s="351"/>
      <c r="W85" s="351"/>
      <c r="X85" s="351"/>
      <c r="Y85" s="354"/>
      <c r="Z85" s="350" t="str">
        <f>_xlfn.IFERROR(VLOOKUP(AB69,Hグループ,2,0),"")</f>
        <v>USFC</v>
      </c>
      <c r="AA85" s="351"/>
      <c r="AB85" s="351"/>
      <c r="AC85" s="351"/>
      <c r="AD85" s="351"/>
      <c r="AE85" s="354"/>
      <c r="AF85" s="350" t="str">
        <f>_xlfn.IFERROR(VLOOKUP(AH69,Hグループ,2,0),"")</f>
        <v>あやめ池</v>
      </c>
      <c r="AG85" s="351"/>
      <c r="AH85" s="351"/>
      <c r="AI85" s="351"/>
      <c r="AJ85" s="351"/>
      <c r="AK85" s="354"/>
      <c r="AL85" s="350" t="str">
        <f>_xlfn.IFERROR(VLOOKUP(AN69,Hグループ,2,0),"")</f>
        <v>アーヴォリ</v>
      </c>
      <c r="AM85" s="351"/>
      <c r="AN85" s="351"/>
      <c r="AO85" s="351"/>
      <c r="AP85" s="351"/>
      <c r="AQ85" s="354"/>
    </row>
    <row r="86" spans="2:43" ht="12" customHeight="1">
      <c r="B86" s="470"/>
      <c r="C86" s="461"/>
      <c r="D86" s="461"/>
      <c r="E86" s="461"/>
      <c r="F86" s="461"/>
      <c r="G86" s="471"/>
      <c r="H86" s="352"/>
      <c r="I86" s="353"/>
      <c r="J86" s="353"/>
      <c r="K86" s="353"/>
      <c r="L86" s="353"/>
      <c r="M86" s="355"/>
      <c r="N86" s="352"/>
      <c r="O86" s="353"/>
      <c r="P86" s="353"/>
      <c r="Q86" s="353"/>
      <c r="R86" s="353"/>
      <c r="S86" s="355"/>
      <c r="T86" s="352"/>
      <c r="U86" s="353"/>
      <c r="V86" s="353"/>
      <c r="W86" s="353"/>
      <c r="X86" s="353"/>
      <c r="Y86" s="355"/>
      <c r="Z86" s="352"/>
      <c r="AA86" s="353"/>
      <c r="AB86" s="353"/>
      <c r="AC86" s="353"/>
      <c r="AD86" s="353"/>
      <c r="AE86" s="355"/>
      <c r="AF86" s="352"/>
      <c r="AG86" s="353"/>
      <c r="AH86" s="353"/>
      <c r="AI86" s="353"/>
      <c r="AJ86" s="353"/>
      <c r="AK86" s="355"/>
      <c r="AL86" s="352"/>
      <c r="AM86" s="353"/>
      <c r="AN86" s="353"/>
      <c r="AO86" s="353"/>
      <c r="AP86" s="353"/>
      <c r="AQ86" s="355"/>
    </row>
  </sheetData>
  <sheetProtection selectLockedCells="1"/>
  <mergeCells count="584">
    <mergeCell ref="BJ51:BM52"/>
    <mergeCell ref="BN51:BO52"/>
    <mergeCell ref="BP51:BQ52"/>
    <mergeCell ref="BR51:BS52"/>
    <mergeCell ref="BT51:BT52"/>
    <mergeCell ref="BU51:BU52"/>
    <mergeCell ref="BJ49:BM50"/>
    <mergeCell ref="BN49:BO50"/>
    <mergeCell ref="BP49:BQ50"/>
    <mergeCell ref="BR49:BS50"/>
    <mergeCell ref="BT49:BT50"/>
    <mergeCell ref="BU49:BU50"/>
    <mergeCell ref="BJ47:BM48"/>
    <mergeCell ref="BN47:BO48"/>
    <mergeCell ref="BP47:BQ48"/>
    <mergeCell ref="BR47:BS48"/>
    <mergeCell ref="BT47:BT48"/>
    <mergeCell ref="BU47:BU48"/>
    <mergeCell ref="BJ45:BM46"/>
    <mergeCell ref="BN45:BO46"/>
    <mergeCell ref="BP45:BQ46"/>
    <mergeCell ref="BR45:BS46"/>
    <mergeCell ref="BT45:BT46"/>
    <mergeCell ref="BU45:BU46"/>
    <mergeCell ref="BJ43:BM44"/>
    <mergeCell ref="BN43:BO44"/>
    <mergeCell ref="BP43:BQ44"/>
    <mergeCell ref="BR43:BS44"/>
    <mergeCell ref="BT43:BT44"/>
    <mergeCell ref="BU43:BU44"/>
    <mergeCell ref="BJ41:BM42"/>
    <mergeCell ref="BN41:BO42"/>
    <mergeCell ref="BP41:BQ42"/>
    <mergeCell ref="BR41:BS42"/>
    <mergeCell ref="BT41:BT42"/>
    <mergeCell ref="BU41:BU42"/>
    <mergeCell ref="BJ21:BM22"/>
    <mergeCell ref="BN21:BO22"/>
    <mergeCell ref="BP21:BQ22"/>
    <mergeCell ref="BR21:BS22"/>
    <mergeCell ref="BT21:BT22"/>
    <mergeCell ref="BU21:BU22"/>
    <mergeCell ref="BJ19:BM20"/>
    <mergeCell ref="BN19:BO20"/>
    <mergeCell ref="BP19:BQ20"/>
    <mergeCell ref="BR19:BS20"/>
    <mergeCell ref="BT19:BT20"/>
    <mergeCell ref="BU19:BU20"/>
    <mergeCell ref="BJ17:BM18"/>
    <mergeCell ref="BN17:BO18"/>
    <mergeCell ref="BP17:BQ18"/>
    <mergeCell ref="BR17:BS18"/>
    <mergeCell ref="BT17:BT18"/>
    <mergeCell ref="BU17:BU18"/>
    <mergeCell ref="BJ15:BM16"/>
    <mergeCell ref="BN15:BO16"/>
    <mergeCell ref="BP15:BQ16"/>
    <mergeCell ref="BR15:BS16"/>
    <mergeCell ref="BT15:BT16"/>
    <mergeCell ref="BU15:BU16"/>
    <mergeCell ref="BJ13:BM14"/>
    <mergeCell ref="BN13:BO14"/>
    <mergeCell ref="BP13:BQ14"/>
    <mergeCell ref="BR13:BS14"/>
    <mergeCell ref="BT13:BT14"/>
    <mergeCell ref="BU13:BU14"/>
    <mergeCell ref="BJ11:BM12"/>
    <mergeCell ref="BN11:BO12"/>
    <mergeCell ref="BP11:BQ12"/>
    <mergeCell ref="BR11:BS12"/>
    <mergeCell ref="BT11:BT12"/>
    <mergeCell ref="BU11:BU12"/>
    <mergeCell ref="AL71:AQ72"/>
    <mergeCell ref="Z73:AE74"/>
    <mergeCell ref="AF73:AK74"/>
    <mergeCell ref="AL73:AQ74"/>
    <mergeCell ref="T27:T28"/>
    <mergeCell ref="T30:T31"/>
    <mergeCell ref="U27:Y28"/>
    <mergeCell ref="U30:Y31"/>
    <mergeCell ref="Z27:AA28"/>
    <mergeCell ref="Z30:AA31"/>
    <mergeCell ref="AL69:AM70"/>
    <mergeCell ref="AN69:AO70"/>
    <mergeCell ref="AP69:AQ70"/>
    <mergeCell ref="Z69:AA70"/>
    <mergeCell ref="AB69:AC70"/>
    <mergeCell ref="AD69:AE70"/>
    <mergeCell ref="AF69:AG70"/>
    <mergeCell ref="AB29:AC29"/>
    <mergeCell ref="AD27:AG28"/>
    <mergeCell ref="AD30:AG31"/>
    <mergeCell ref="AH27:AH28"/>
    <mergeCell ref="AH30:AH31"/>
    <mergeCell ref="AI27:AM28"/>
    <mergeCell ref="AL75:AQ76"/>
    <mergeCell ref="T77:Y78"/>
    <mergeCell ref="Z77:AE78"/>
    <mergeCell ref="N81:S82"/>
    <mergeCell ref="T81:Y82"/>
    <mergeCell ref="Z81:AE82"/>
    <mergeCell ref="AF81:AK82"/>
    <mergeCell ref="AL81:AQ82"/>
    <mergeCell ref="AL77:AQ78"/>
    <mergeCell ref="AF71:AK72"/>
    <mergeCell ref="N75:S76"/>
    <mergeCell ref="T75:Y76"/>
    <mergeCell ref="T73:Y74"/>
    <mergeCell ref="N77:S78"/>
    <mergeCell ref="H71:M72"/>
    <mergeCell ref="AF77:AK78"/>
    <mergeCell ref="T71:Y72"/>
    <mergeCell ref="Z71:AE72"/>
    <mergeCell ref="N73:S74"/>
    <mergeCell ref="N83:S84"/>
    <mergeCell ref="T83:Y84"/>
    <mergeCell ref="Z83:AE84"/>
    <mergeCell ref="AF83:AK84"/>
    <mergeCell ref="AF75:AK76"/>
    <mergeCell ref="Z75:AE76"/>
    <mergeCell ref="AL85:AQ86"/>
    <mergeCell ref="Z85:AE86"/>
    <mergeCell ref="AF85:AK86"/>
    <mergeCell ref="T85:Y86"/>
    <mergeCell ref="N85:S86"/>
    <mergeCell ref="AF79:AK80"/>
    <mergeCell ref="AL79:AQ80"/>
    <mergeCell ref="T79:Y80"/>
    <mergeCell ref="N79:S80"/>
    <mergeCell ref="Z79:AE80"/>
    <mergeCell ref="H73:M74"/>
    <mergeCell ref="AL83:AQ84"/>
    <mergeCell ref="H85:M86"/>
    <mergeCell ref="B69:G70"/>
    <mergeCell ref="B71:G72"/>
    <mergeCell ref="B73:G74"/>
    <mergeCell ref="B81:G82"/>
    <mergeCell ref="B83:G84"/>
    <mergeCell ref="B79:G80"/>
    <mergeCell ref="B85:G86"/>
    <mergeCell ref="H81:M82"/>
    <mergeCell ref="H83:M84"/>
    <mergeCell ref="H79:M80"/>
    <mergeCell ref="H77:M78"/>
    <mergeCell ref="B77:G78"/>
    <mergeCell ref="B75:G76"/>
    <mergeCell ref="H75:M76"/>
    <mergeCell ref="B60:E61"/>
    <mergeCell ref="F60:F61"/>
    <mergeCell ref="G60:K61"/>
    <mergeCell ref="L60:M61"/>
    <mergeCell ref="N71:S72"/>
    <mergeCell ref="B66:U67"/>
    <mergeCell ref="L69:M70"/>
    <mergeCell ref="J69:K70"/>
    <mergeCell ref="H69:I70"/>
    <mergeCell ref="AB59:AC59"/>
    <mergeCell ref="N60:O61"/>
    <mergeCell ref="T60:T61"/>
    <mergeCell ref="AH69:AI70"/>
    <mergeCell ref="AJ69:AK70"/>
    <mergeCell ref="N69:O70"/>
    <mergeCell ref="AB60:AC61"/>
    <mergeCell ref="N59:O59"/>
    <mergeCell ref="AI60:AM61"/>
    <mergeCell ref="X69:Y70"/>
    <mergeCell ref="T57:T58"/>
    <mergeCell ref="U60:Y61"/>
    <mergeCell ref="Z60:AA61"/>
    <mergeCell ref="T69:U70"/>
    <mergeCell ref="V69:W70"/>
    <mergeCell ref="P69:Q70"/>
    <mergeCell ref="R69:S70"/>
    <mergeCell ref="P60:S61"/>
    <mergeCell ref="AP60:AQ61"/>
    <mergeCell ref="AP57:AQ58"/>
    <mergeCell ref="AN57:AO58"/>
    <mergeCell ref="AN60:AO61"/>
    <mergeCell ref="AP59:AQ59"/>
    <mergeCell ref="AD57:AG58"/>
    <mergeCell ref="AD60:AG61"/>
    <mergeCell ref="AH57:AH58"/>
    <mergeCell ref="AH60:AH61"/>
    <mergeCell ref="AI57:AM58"/>
    <mergeCell ref="AJ54:AK55"/>
    <mergeCell ref="Z52:AA53"/>
    <mergeCell ref="AB52:AC53"/>
    <mergeCell ref="AD52:AE53"/>
    <mergeCell ref="AF52:AG53"/>
    <mergeCell ref="AB54:AC55"/>
    <mergeCell ref="AD54:AE55"/>
    <mergeCell ref="AJ52:AK53"/>
    <mergeCell ref="R54:S55"/>
    <mergeCell ref="T54:Y55"/>
    <mergeCell ref="U52:V53"/>
    <mergeCell ref="X52:Y53"/>
    <mergeCell ref="AU54:AU55"/>
    <mergeCell ref="AR54:AR55"/>
    <mergeCell ref="AS54:AS55"/>
    <mergeCell ref="AT54:AT55"/>
    <mergeCell ref="AF54:AG55"/>
    <mergeCell ref="AH54:AI55"/>
    <mergeCell ref="AB57:AC58"/>
    <mergeCell ref="AL54:AM55"/>
    <mergeCell ref="AN54:AO55"/>
    <mergeCell ref="AP54:AQ55"/>
    <mergeCell ref="A54:A55"/>
    <mergeCell ref="B54:G55"/>
    <mergeCell ref="H54:H55"/>
    <mergeCell ref="I54:J55"/>
    <mergeCell ref="L54:M55"/>
    <mergeCell ref="O54:P55"/>
    <mergeCell ref="N54:N55"/>
    <mergeCell ref="Z57:AA58"/>
    <mergeCell ref="B57:E58"/>
    <mergeCell ref="F57:F58"/>
    <mergeCell ref="G57:K58"/>
    <mergeCell ref="L57:M58"/>
    <mergeCell ref="P57:S58"/>
    <mergeCell ref="U57:Y58"/>
    <mergeCell ref="Z54:AA55"/>
    <mergeCell ref="N57:O58"/>
    <mergeCell ref="A50:A51"/>
    <mergeCell ref="B50:G51"/>
    <mergeCell ref="AU52:AU53"/>
    <mergeCell ref="AR52:AR53"/>
    <mergeCell ref="AS52:AS53"/>
    <mergeCell ref="AT52:AT53"/>
    <mergeCell ref="AH52:AI53"/>
    <mergeCell ref="T52:T53"/>
    <mergeCell ref="Z50:AA51"/>
    <mergeCell ref="AB50:AC51"/>
    <mergeCell ref="AL52:AM53"/>
    <mergeCell ref="AN52:AO53"/>
    <mergeCell ref="AP52:AQ53"/>
    <mergeCell ref="A52:A53"/>
    <mergeCell ref="B52:G53"/>
    <mergeCell ref="H52:H53"/>
    <mergeCell ref="I52:J53"/>
    <mergeCell ref="L52:M53"/>
    <mergeCell ref="N52:S53"/>
    <mergeCell ref="BA47:BE48"/>
    <mergeCell ref="BA51:BE52"/>
    <mergeCell ref="AT48:AT49"/>
    <mergeCell ref="BA49:BE50"/>
    <mergeCell ref="AT50:AT51"/>
    <mergeCell ref="AU48:AU49"/>
    <mergeCell ref="AZ49:AZ50"/>
    <mergeCell ref="AZ47:AZ48"/>
    <mergeCell ref="AZ51:AZ52"/>
    <mergeCell ref="AR48:AR49"/>
    <mergeCell ref="AS48:AS49"/>
    <mergeCell ref="AB48:AC49"/>
    <mergeCell ref="AR50:AR51"/>
    <mergeCell ref="AF50:AG51"/>
    <mergeCell ref="AH50:AI51"/>
    <mergeCell ref="AJ48:AK49"/>
    <mergeCell ref="AS50:AS51"/>
    <mergeCell ref="AD48:AE49"/>
    <mergeCell ref="AL50:AM51"/>
    <mergeCell ref="Z45:AA46"/>
    <mergeCell ref="AB45:AC46"/>
    <mergeCell ref="AD45:AE46"/>
    <mergeCell ref="AF48:AG49"/>
    <mergeCell ref="AH48:AI49"/>
    <mergeCell ref="AU50:AU51"/>
    <mergeCell ref="AJ50:AK51"/>
    <mergeCell ref="AL48:AM49"/>
    <mergeCell ref="AN48:AO49"/>
    <mergeCell ref="AP45:AQ46"/>
    <mergeCell ref="AN50:AO51"/>
    <mergeCell ref="AP50:AQ51"/>
    <mergeCell ref="AP48:AQ49"/>
    <mergeCell ref="AD50:AE51"/>
    <mergeCell ref="B48:C49"/>
    <mergeCell ref="D48:G49"/>
    <mergeCell ref="H48:M49"/>
    <mergeCell ref="N48:S49"/>
    <mergeCell ref="T48:Y49"/>
    <mergeCell ref="Z48:AA49"/>
    <mergeCell ref="O45:P46"/>
    <mergeCell ref="R45:S46"/>
    <mergeCell ref="R50:S51"/>
    <mergeCell ref="T50:T51"/>
    <mergeCell ref="H50:M51"/>
    <mergeCell ref="O50:P51"/>
    <mergeCell ref="T45:Y46"/>
    <mergeCell ref="U50:V51"/>
    <mergeCell ref="X50:Y51"/>
    <mergeCell ref="A45:A46"/>
    <mergeCell ref="B45:G46"/>
    <mergeCell ref="H45:H46"/>
    <mergeCell ref="I45:J46"/>
    <mergeCell ref="L45:M46"/>
    <mergeCell ref="N45:N46"/>
    <mergeCell ref="BA45:BE46"/>
    <mergeCell ref="AF45:AG46"/>
    <mergeCell ref="AH45:AI46"/>
    <mergeCell ref="AJ45:AK46"/>
    <mergeCell ref="AL45:AM46"/>
    <mergeCell ref="AN45:AO46"/>
    <mergeCell ref="AS45:AS46"/>
    <mergeCell ref="AT45:AT46"/>
    <mergeCell ref="AU45:AU46"/>
    <mergeCell ref="AR45:AR46"/>
    <mergeCell ref="AZ45:AZ46"/>
    <mergeCell ref="AZ43:AZ44"/>
    <mergeCell ref="BA43:BE44"/>
    <mergeCell ref="AF43:AG44"/>
    <mergeCell ref="AH43:AI44"/>
    <mergeCell ref="AJ43:AK44"/>
    <mergeCell ref="AL43:AM44"/>
    <mergeCell ref="AN43:AO44"/>
    <mergeCell ref="AP43:AQ44"/>
    <mergeCell ref="AR43:AR44"/>
    <mergeCell ref="AS43:AS44"/>
    <mergeCell ref="AT43:AT44"/>
    <mergeCell ref="A43:A44"/>
    <mergeCell ref="B43:G44"/>
    <mergeCell ref="H43:H44"/>
    <mergeCell ref="I43:J44"/>
    <mergeCell ref="L43:M44"/>
    <mergeCell ref="N43:S44"/>
    <mergeCell ref="T41:T42"/>
    <mergeCell ref="U41:V42"/>
    <mergeCell ref="AU43:AU44"/>
    <mergeCell ref="T43:T44"/>
    <mergeCell ref="U43:V44"/>
    <mergeCell ref="X43:Y44"/>
    <mergeCell ref="Z43:AA44"/>
    <mergeCell ref="AB43:AC44"/>
    <mergeCell ref="AD43:AE44"/>
    <mergeCell ref="X41:Y42"/>
    <mergeCell ref="A41:A42"/>
    <mergeCell ref="B41:G42"/>
    <mergeCell ref="H41:M42"/>
    <mergeCell ref="N41:N42"/>
    <mergeCell ref="O41:P42"/>
    <mergeCell ref="R41:S42"/>
    <mergeCell ref="BA41:BE42"/>
    <mergeCell ref="AJ41:AK42"/>
    <mergeCell ref="AL41:AM42"/>
    <mergeCell ref="AN41:AO42"/>
    <mergeCell ref="AP41:AQ42"/>
    <mergeCell ref="AR41:AR42"/>
    <mergeCell ref="AS41:AS42"/>
    <mergeCell ref="AU41:AU42"/>
    <mergeCell ref="AZ41:AZ42"/>
    <mergeCell ref="Z41:AA42"/>
    <mergeCell ref="AB41:AC42"/>
    <mergeCell ref="AD41:AE42"/>
    <mergeCell ref="AF41:AG42"/>
    <mergeCell ref="AH41:AI42"/>
    <mergeCell ref="AT41:AT42"/>
    <mergeCell ref="AZ39:BA40"/>
    <mergeCell ref="AP39:AQ40"/>
    <mergeCell ref="AR39:AR40"/>
    <mergeCell ref="AS39:AS40"/>
    <mergeCell ref="AT39:AT40"/>
    <mergeCell ref="BB39:BE40"/>
    <mergeCell ref="AU39:AU40"/>
    <mergeCell ref="D36:P37"/>
    <mergeCell ref="H39:M40"/>
    <mergeCell ref="N39:S40"/>
    <mergeCell ref="T39:Y40"/>
    <mergeCell ref="Z39:AA40"/>
    <mergeCell ref="AN39:AO40"/>
    <mergeCell ref="AB39:AC40"/>
    <mergeCell ref="AD39:AE40"/>
    <mergeCell ref="AF39:AG40"/>
    <mergeCell ref="AH39:AI40"/>
    <mergeCell ref="AJ39:AK40"/>
    <mergeCell ref="AL39:AM40"/>
    <mergeCell ref="AF22:AG23"/>
    <mergeCell ref="B36:C37"/>
    <mergeCell ref="B39:C40"/>
    <mergeCell ref="D39:G40"/>
    <mergeCell ref="L27:M28"/>
    <mergeCell ref="L30:M31"/>
    <mergeCell ref="N24:N25"/>
    <mergeCell ref="T22:T23"/>
    <mergeCell ref="AT24:AT25"/>
    <mergeCell ref="Z24:AA25"/>
    <mergeCell ref="AB24:AC25"/>
    <mergeCell ref="AD24:AE25"/>
    <mergeCell ref="AF24:AG25"/>
    <mergeCell ref="AH24:AI25"/>
    <mergeCell ref="AJ24:AK25"/>
    <mergeCell ref="AL24:AM25"/>
    <mergeCell ref="AP24:AQ25"/>
    <mergeCell ref="AR24:AR25"/>
    <mergeCell ref="AP30:AQ31"/>
    <mergeCell ref="AN27:AO28"/>
    <mergeCell ref="B27:E28"/>
    <mergeCell ref="B30:E31"/>
    <mergeCell ref="F27:F28"/>
    <mergeCell ref="F30:F31"/>
    <mergeCell ref="G27:K28"/>
    <mergeCell ref="G30:K31"/>
    <mergeCell ref="AI30:AM31"/>
    <mergeCell ref="AB30:AC31"/>
    <mergeCell ref="AP27:AQ28"/>
    <mergeCell ref="AN30:AO31"/>
    <mergeCell ref="AP29:AQ29"/>
    <mergeCell ref="AU24:AU25"/>
    <mergeCell ref="N27:O28"/>
    <mergeCell ref="AB27:AC28"/>
    <mergeCell ref="O24:P25"/>
    <mergeCell ref="R24:S25"/>
    <mergeCell ref="T24:Y25"/>
    <mergeCell ref="AN24:AO25"/>
    <mergeCell ref="AS24:AS25"/>
    <mergeCell ref="N29:O29"/>
    <mergeCell ref="P27:S28"/>
    <mergeCell ref="P30:S31"/>
    <mergeCell ref="N30:O31"/>
    <mergeCell ref="A24:A25"/>
    <mergeCell ref="B24:G25"/>
    <mergeCell ref="H24:H25"/>
    <mergeCell ref="I24:J25"/>
    <mergeCell ref="L24:M25"/>
    <mergeCell ref="U22:V23"/>
    <mergeCell ref="X22:Y23"/>
    <mergeCell ref="A20:A21"/>
    <mergeCell ref="B20:G21"/>
    <mergeCell ref="AU22:AU23"/>
    <mergeCell ref="AR22:AR23"/>
    <mergeCell ref="AS22:AS23"/>
    <mergeCell ref="AT22:AT23"/>
    <mergeCell ref="AH22:AI23"/>
    <mergeCell ref="AH20:AI21"/>
    <mergeCell ref="N20:N21"/>
    <mergeCell ref="A22:A23"/>
    <mergeCell ref="B22:G23"/>
    <mergeCell ref="H22:H23"/>
    <mergeCell ref="I22:J23"/>
    <mergeCell ref="L22:M23"/>
    <mergeCell ref="N22:S23"/>
    <mergeCell ref="H20:M21"/>
    <mergeCell ref="AL22:AM23"/>
    <mergeCell ref="AN22:AO23"/>
    <mergeCell ref="AP22:AQ23"/>
    <mergeCell ref="Z22:AA23"/>
    <mergeCell ref="AB22:AC23"/>
    <mergeCell ref="AD22:AE23"/>
    <mergeCell ref="AJ22:AK23"/>
    <mergeCell ref="BA17:BE18"/>
    <mergeCell ref="BA21:BE22"/>
    <mergeCell ref="AP18:AQ19"/>
    <mergeCell ref="AZ17:AZ18"/>
    <mergeCell ref="AS20:AS21"/>
    <mergeCell ref="U20:V21"/>
    <mergeCell ref="X20:Y21"/>
    <mergeCell ref="Z20:AA21"/>
    <mergeCell ref="AB20:AC21"/>
    <mergeCell ref="AD20:AE21"/>
    <mergeCell ref="BA19:BE20"/>
    <mergeCell ref="AT20:AT21"/>
    <mergeCell ref="AU20:AU21"/>
    <mergeCell ref="AZ21:AZ22"/>
    <mergeCell ref="AF18:AG19"/>
    <mergeCell ref="AH18:AI19"/>
    <mergeCell ref="AL20:AM21"/>
    <mergeCell ref="AN20:AO21"/>
    <mergeCell ref="AP20:AQ21"/>
    <mergeCell ref="AR20:AR21"/>
    <mergeCell ref="AJ18:AK19"/>
    <mergeCell ref="AL18:AM19"/>
    <mergeCell ref="AN18:AO19"/>
    <mergeCell ref="AU18:AU19"/>
    <mergeCell ref="AZ19:AZ20"/>
    <mergeCell ref="AR18:AR19"/>
    <mergeCell ref="AS18:AS19"/>
    <mergeCell ref="AT18:AT19"/>
    <mergeCell ref="AJ20:AK21"/>
    <mergeCell ref="AF20:AG21"/>
    <mergeCell ref="AP15:AQ16"/>
    <mergeCell ref="AZ15:AZ16"/>
    <mergeCell ref="AD15:AE16"/>
    <mergeCell ref="B18:C19"/>
    <mergeCell ref="D18:G19"/>
    <mergeCell ref="H18:M19"/>
    <mergeCell ref="N18:S19"/>
    <mergeCell ref="T18:Y19"/>
    <mergeCell ref="Z18:AA19"/>
    <mergeCell ref="AB18:AC19"/>
    <mergeCell ref="O15:P16"/>
    <mergeCell ref="R15:S16"/>
    <mergeCell ref="T15:Y16"/>
    <mergeCell ref="Z15:AA16"/>
    <mergeCell ref="AB15:AC16"/>
    <mergeCell ref="T20:T21"/>
    <mergeCell ref="O20:P21"/>
    <mergeCell ref="R20:S21"/>
    <mergeCell ref="AD18:AE19"/>
    <mergeCell ref="BA15:BE16"/>
    <mergeCell ref="AF15:AG16"/>
    <mergeCell ref="AH15:AI16"/>
    <mergeCell ref="AJ15:AK16"/>
    <mergeCell ref="AL15:AM16"/>
    <mergeCell ref="AN15:AO16"/>
    <mergeCell ref="AS15:AS16"/>
    <mergeCell ref="AT15:AT16"/>
    <mergeCell ref="AU15:AU16"/>
    <mergeCell ref="AR15:AR16"/>
    <mergeCell ref="T13:T14"/>
    <mergeCell ref="U13:V14"/>
    <mergeCell ref="X13:Y14"/>
    <mergeCell ref="Z13:AA14"/>
    <mergeCell ref="AB13:AC14"/>
    <mergeCell ref="AL11:AM12"/>
    <mergeCell ref="AN11:AO12"/>
    <mergeCell ref="AP11:AQ12"/>
    <mergeCell ref="AD13:AE14"/>
    <mergeCell ref="AH13:AI14"/>
    <mergeCell ref="AJ13:AK14"/>
    <mergeCell ref="AL13:AM14"/>
    <mergeCell ref="AN13:AO14"/>
    <mergeCell ref="AP13:AQ14"/>
    <mergeCell ref="AH11:AI12"/>
    <mergeCell ref="X11:Y12"/>
    <mergeCell ref="Z11:AA12"/>
    <mergeCell ref="AB11:AC12"/>
    <mergeCell ref="AD11:AE12"/>
    <mergeCell ref="A13:A14"/>
    <mergeCell ref="B13:G14"/>
    <mergeCell ref="H13:H14"/>
    <mergeCell ref="I13:J14"/>
    <mergeCell ref="L13:M14"/>
    <mergeCell ref="N13:S14"/>
    <mergeCell ref="A15:A16"/>
    <mergeCell ref="B15:G16"/>
    <mergeCell ref="H15:H16"/>
    <mergeCell ref="I15:J16"/>
    <mergeCell ref="L15:M16"/>
    <mergeCell ref="N15:N16"/>
    <mergeCell ref="BB9:BE10"/>
    <mergeCell ref="A11:A12"/>
    <mergeCell ref="B11:G12"/>
    <mergeCell ref="H11:M12"/>
    <mergeCell ref="N11:N12"/>
    <mergeCell ref="O11:P12"/>
    <mergeCell ref="R11:S12"/>
    <mergeCell ref="T11:T12"/>
    <mergeCell ref="U11:V12"/>
    <mergeCell ref="AR9:AR10"/>
    <mergeCell ref="AR11:AR12"/>
    <mergeCell ref="AS11:AS12"/>
    <mergeCell ref="AU13:AU14"/>
    <mergeCell ref="AZ13:AZ14"/>
    <mergeCell ref="AZ9:BA10"/>
    <mergeCell ref="AS9:AS10"/>
    <mergeCell ref="AT9:AT10"/>
    <mergeCell ref="AU9:AU10"/>
    <mergeCell ref="AJ11:AK12"/>
    <mergeCell ref="BA13:BE14"/>
    <mergeCell ref="AF13:AG14"/>
    <mergeCell ref="AR13:AR14"/>
    <mergeCell ref="AS13:AS14"/>
    <mergeCell ref="AZ11:AZ12"/>
    <mergeCell ref="BA11:BE12"/>
    <mergeCell ref="AT11:AT12"/>
    <mergeCell ref="AU11:AU12"/>
    <mergeCell ref="AT13:AT14"/>
    <mergeCell ref="AF11:AG12"/>
    <mergeCell ref="B6:C7"/>
    <mergeCell ref="B9:C10"/>
    <mergeCell ref="D9:G10"/>
    <mergeCell ref="H9:M10"/>
    <mergeCell ref="N9:S10"/>
    <mergeCell ref="T9:Y10"/>
    <mergeCell ref="Z9:AA10"/>
    <mergeCell ref="D6:P7"/>
    <mergeCell ref="AB9:AC10"/>
    <mergeCell ref="B2:U3"/>
    <mergeCell ref="V2:AQ3"/>
    <mergeCell ref="V4:AQ5"/>
    <mergeCell ref="AF9:AG10"/>
    <mergeCell ref="AH9:AI10"/>
    <mergeCell ref="AJ9:AK10"/>
    <mergeCell ref="AL9:AM10"/>
    <mergeCell ref="AN9:AO10"/>
    <mergeCell ref="AD9:AE10"/>
    <mergeCell ref="AP9:AQ10"/>
  </mergeCells>
  <printOptions/>
  <pageMargins left="0.4724409448818898" right="0.4724409448818898" top="0.5511811023622047" bottom="0.5511811023622047" header="0.31496062992125984" footer="0.31496062992125984"/>
  <pageSetup horizontalDpi="300" verticalDpi="300" orientation="portrait" paperSize="9" scale="98" r:id="rId1"/>
  <headerFooter>
    <oddFooter>&amp;C&amp;[６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37">
      <selection activeCell="Q35" sqref="Q35"/>
    </sheetView>
  </sheetViews>
  <sheetFormatPr defaultColWidth="9.00390625" defaultRowHeight="18.75" customHeight="1"/>
  <cols>
    <col min="1" max="2" width="7.625" style="79" customWidth="1"/>
    <col min="3" max="3" width="11.25390625" style="79" customWidth="1"/>
    <col min="4" max="4" width="3.125" style="79" customWidth="1"/>
    <col min="5" max="5" width="3.00390625" style="79" customWidth="1"/>
    <col min="6" max="6" width="3.125" style="79" customWidth="1"/>
    <col min="7" max="7" width="11.00390625" style="79" customWidth="1"/>
    <col min="8" max="8" width="8.00390625" style="79" customWidth="1"/>
    <col min="9" max="9" width="10.00390625" style="79" customWidth="1"/>
    <col min="10" max="10" width="3.125" style="79" customWidth="1"/>
    <col min="11" max="11" width="3.00390625" style="79" customWidth="1"/>
    <col min="12" max="12" width="3.125" style="79" customWidth="1"/>
    <col min="13" max="13" width="11.875" style="79" customWidth="1"/>
    <col min="14" max="14" width="7.75390625" style="79" customWidth="1"/>
    <col min="15" max="15" width="3.00390625" style="79" customWidth="1"/>
    <col min="16" max="16" width="3.25390625" style="80" bestFit="1" customWidth="1"/>
    <col min="17" max="17" width="11.625" style="80" customWidth="1"/>
    <col min="18" max="18" width="12.625" style="80" customWidth="1"/>
    <col min="19" max="19" width="3.375" style="80" customWidth="1"/>
    <col min="20" max="20" width="3.625" style="80" bestFit="1" customWidth="1"/>
    <col min="21" max="21" width="11.625" style="80" customWidth="1"/>
    <col min="22" max="22" width="12.625" style="80" customWidth="1"/>
    <col min="23" max="16384" width="9.00390625" style="79" customWidth="1"/>
  </cols>
  <sheetData>
    <row r="1" spans="1:14" ht="25.5" customHeight="1">
      <c r="A1" s="513" t="s">
        <v>190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4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" customHeight="1" thickBot="1">
      <c r="A3" s="514" t="s">
        <v>115</v>
      </c>
      <c r="B3" s="514"/>
      <c r="C3" s="514"/>
      <c r="D3" s="514"/>
      <c r="E3" s="514"/>
      <c r="F3" s="514"/>
      <c r="G3" s="514"/>
      <c r="H3" s="514" t="s">
        <v>116</v>
      </c>
      <c r="I3" s="514"/>
      <c r="J3" s="514"/>
      <c r="K3" s="514"/>
      <c r="L3" s="514"/>
      <c r="M3" s="514"/>
      <c r="N3" s="514"/>
    </row>
    <row r="4" spans="1:22" ht="18.75" customHeight="1" thickBot="1">
      <c r="A4" s="82" t="s">
        <v>7</v>
      </c>
      <c r="B4" s="82" t="s">
        <v>0</v>
      </c>
      <c r="C4" s="83" t="str">
        <f>P4</f>
        <v>A</v>
      </c>
      <c r="D4" s="495" t="str">
        <f>IF(R5="","Ａ会場",R5)</f>
        <v>南部生涯Ｇ</v>
      </c>
      <c r="E4" s="495"/>
      <c r="F4" s="495"/>
      <c r="G4" s="496"/>
      <c r="H4" s="84" t="s">
        <v>4</v>
      </c>
      <c r="I4" s="83" t="str">
        <f>P13</f>
        <v>B</v>
      </c>
      <c r="J4" s="495" t="str">
        <f>IF(R15="","Ｂ会場",R15)</f>
        <v>鴻池サブＧ（Ａ）</v>
      </c>
      <c r="K4" s="495"/>
      <c r="L4" s="495"/>
      <c r="M4" s="496"/>
      <c r="N4" s="84" t="s">
        <v>4</v>
      </c>
      <c r="P4" s="107" t="s">
        <v>96</v>
      </c>
      <c r="Q4" s="182" t="s">
        <v>95</v>
      </c>
      <c r="R4" s="182" t="s">
        <v>94</v>
      </c>
      <c r="T4" s="107" t="s">
        <v>102</v>
      </c>
      <c r="U4" s="182" t="s">
        <v>95</v>
      </c>
      <c r="V4" s="182" t="s">
        <v>94</v>
      </c>
    </row>
    <row r="5" spans="1:22" ht="18.75" customHeight="1" thickBot="1">
      <c r="A5" s="82" t="s">
        <v>70</v>
      </c>
      <c r="B5" s="99">
        <v>0.3958333333333333</v>
      </c>
      <c r="C5" s="85" t="str">
        <f>IF(Q5="","Ⅰ－１",Q5)</f>
        <v>奈良YMCA</v>
      </c>
      <c r="D5" s="149">
        <v>6</v>
      </c>
      <c r="E5" s="114" t="s">
        <v>55</v>
      </c>
      <c r="F5" s="154">
        <v>0</v>
      </c>
      <c r="G5" s="86" t="str">
        <f>IF(Q6="","Ⅰ－２",Q6)</f>
        <v>下　田</v>
      </c>
      <c r="H5" s="110" t="str">
        <f>C6</f>
        <v>三　笠</v>
      </c>
      <c r="I5" s="85" t="str">
        <f>IF(Q15="","Ⅰ－１",Q15)</f>
        <v>朱　雀</v>
      </c>
      <c r="J5" s="149">
        <v>0</v>
      </c>
      <c r="K5" s="114" t="s">
        <v>55</v>
      </c>
      <c r="L5" s="154">
        <v>3</v>
      </c>
      <c r="M5" s="230" t="str">
        <f>IF(Q17="","Ⅰ－２",Q17)</f>
        <v>GINGA</v>
      </c>
      <c r="N5" s="110" t="str">
        <f>I6</f>
        <v>鳥　見</v>
      </c>
      <c r="P5" s="244" t="s">
        <v>97</v>
      </c>
      <c r="Q5" s="183" t="s">
        <v>146</v>
      </c>
      <c r="R5" s="486" t="s">
        <v>149</v>
      </c>
      <c r="T5" s="249" t="s">
        <v>97</v>
      </c>
      <c r="U5" s="183" t="s">
        <v>130</v>
      </c>
      <c r="V5" s="501" t="s">
        <v>148</v>
      </c>
    </row>
    <row r="6" spans="1:22" ht="18.75" customHeight="1" thickBot="1">
      <c r="A6" s="82" t="s">
        <v>71</v>
      </c>
      <c r="B6" s="99">
        <v>0.4236111111111111</v>
      </c>
      <c r="C6" s="87" t="str">
        <f>IF(Q8="","Ⅱ－１",Q8)</f>
        <v>三　笠</v>
      </c>
      <c r="D6" s="150">
        <v>5</v>
      </c>
      <c r="E6" s="115" t="s">
        <v>55</v>
      </c>
      <c r="F6" s="155">
        <v>1</v>
      </c>
      <c r="G6" s="88" t="str">
        <f>IF(Q9="","Ⅱ－２",Q9)</f>
        <v>白　鷺</v>
      </c>
      <c r="H6" s="111" t="str">
        <f>C5</f>
        <v>奈良YMCA</v>
      </c>
      <c r="I6" s="87" t="str">
        <f>IF(Q19="","Ⅱ－１",Q19)</f>
        <v>鳥　見</v>
      </c>
      <c r="J6" s="150">
        <v>0</v>
      </c>
      <c r="K6" s="115" t="s">
        <v>55</v>
      </c>
      <c r="L6" s="155">
        <v>1</v>
      </c>
      <c r="M6" s="232" t="str">
        <f>IF(Q20="","Ⅱ－２",Q20)</f>
        <v>生野朝鮮初級</v>
      </c>
      <c r="N6" s="111" t="str">
        <f>I5</f>
        <v>朱　雀</v>
      </c>
      <c r="P6" s="245"/>
      <c r="Q6" s="183" t="s">
        <v>169</v>
      </c>
      <c r="R6" s="488"/>
      <c r="T6" s="249"/>
      <c r="U6" s="183" t="s">
        <v>173</v>
      </c>
      <c r="V6" s="502"/>
    </row>
    <row r="7" spans="1:22" ht="18.75" customHeight="1" thickBot="1">
      <c r="A7" s="82" t="s">
        <v>72</v>
      </c>
      <c r="B7" s="99">
        <v>0.4513888888888889</v>
      </c>
      <c r="C7" s="87" t="str">
        <f>C5</f>
        <v>奈良YMCA</v>
      </c>
      <c r="D7" s="150">
        <v>2</v>
      </c>
      <c r="E7" s="115" t="s">
        <v>55</v>
      </c>
      <c r="F7" s="155">
        <v>0</v>
      </c>
      <c r="G7" s="88" t="str">
        <f>IF(Q7="","Ⅰ－３",Q7)</f>
        <v>石　津</v>
      </c>
      <c r="H7" s="111" t="str">
        <f>G6</f>
        <v>白　鷺</v>
      </c>
      <c r="I7" s="87" t="str">
        <f>I5</f>
        <v>朱　雀</v>
      </c>
      <c r="J7" s="150">
        <v>9</v>
      </c>
      <c r="K7" s="115" t="s">
        <v>55</v>
      </c>
      <c r="L7" s="155">
        <v>0</v>
      </c>
      <c r="M7" s="232" t="str">
        <f>IF(Q18="","Ⅰ－３",Q18)</f>
        <v>岩出市</v>
      </c>
      <c r="N7" s="111" t="str">
        <f>M6</f>
        <v>生野朝鮮初級</v>
      </c>
      <c r="P7" s="246"/>
      <c r="Q7" s="184" t="s">
        <v>178</v>
      </c>
      <c r="R7" s="488"/>
      <c r="T7" s="249"/>
      <c r="U7" s="184" t="s">
        <v>174</v>
      </c>
      <c r="V7" s="502"/>
    </row>
    <row r="8" spans="1:22" ht="18.75" customHeight="1" thickBot="1">
      <c r="A8" s="82" t="s">
        <v>73</v>
      </c>
      <c r="B8" s="99">
        <v>0.4791666666666667</v>
      </c>
      <c r="C8" s="87" t="str">
        <f>C6</f>
        <v>三　笠</v>
      </c>
      <c r="D8" s="150">
        <v>4</v>
      </c>
      <c r="E8" s="115" t="s">
        <v>55</v>
      </c>
      <c r="F8" s="155">
        <v>0</v>
      </c>
      <c r="G8" s="89" t="str">
        <f>IF(Q10="","Ⅱ－３",Q10)</f>
        <v>矢　倉</v>
      </c>
      <c r="H8" s="112" t="str">
        <f>G7</f>
        <v>石　津</v>
      </c>
      <c r="I8" s="87" t="str">
        <f>I6</f>
        <v>鳥　見</v>
      </c>
      <c r="J8" s="150">
        <v>0</v>
      </c>
      <c r="K8" s="115" t="s">
        <v>55</v>
      </c>
      <c r="L8" s="155">
        <v>3</v>
      </c>
      <c r="M8" s="229" t="str">
        <f>IF(Q21="","Ⅱ－３",Q21)</f>
        <v>ﾃﾞｨｱﾌﾞﾛｯｻ高田</v>
      </c>
      <c r="N8" s="112" t="str">
        <f>M7</f>
        <v>岩出市</v>
      </c>
      <c r="P8" s="244" t="s">
        <v>98</v>
      </c>
      <c r="Q8" s="184" t="s">
        <v>170</v>
      </c>
      <c r="R8" s="488"/>
      <c r="T8" s="249" t="s">
        <v>98</v>
      </c>
      <c r="U8" s="183" t="s">
        <v>175</v>
      </c>
      <c r="V8" s="502"/>
    </row>
    <row r="9" spans="1:22" ht="18.75" customHeight="1" thickBot="1">
      <c r="A9" s="82" t="s">
        <v>74</v>
      </c>
      <c r="B9" s="99">
        <v>0.5069444444444444</v>
      </c>
      <c r="C9" s="87" t="str">
        <f>G5</f>
        <v>下　田</v>
      </c>
      <c r="D9" s="150">
        <v>1</v>
      </c>
      <c r="E9" s="115" t="s">
        <v>55</v>
      </c>
      <c r="F9" s="155">
        <v>2</v>
      </c>
      <c r="G9" s="88" t="str">
        <f>G7</f>
        <v>石　津</v>
      </c>
      <c r="H9" s="111" t="str">
        <f>G8</f>
        <v>矢　倉</v>
      </c>
      <c r="I9" s="87" t="str">
        <f>M5</f>
        <v>GINGA</v>
      </c>
      <c r="J9" s="152">
        <v>11</v>
      </c>
      <c r="K9" s="115" t="s">
        <v>55</v>
      </c>
      <c r="L9" s="155">
        <v>0</v>
      </c>
      <c r="M9" s="232" t="str">
        <f>M7</f>
        <v>岩出市</v>
      </c>
      <c r="N9" s="111" t="str">
        <f>M8</f>
        <v>ﾃﾞｨｱﾌﾞﾛｯｻ高田</v>
      </c>
      <c r="P9" s="245"/>
      <c r="Q9" s="183" t="s">
        <v>171</v>
      </c>
      <c r="R9" s="488"/>
      <c r="T9" s="249"/>
      <c r="U9" s="183" t="s">
        <v>161</v>
      </c>
      <c r="V9" s="502"/>
    </row>
    <row r="10" spans="1:22" ht="18.75" customHeight="1" thickBot="1">
      <c r="A10" s="82" t="s">
        <v>75</v>
      </c>
      <c r="B10" s="99">
        <v>0.5347222222222222</v>
      </c>
      <c r="C10" s="90" t="str">
        <f>G6</f>
        <v>白　鷺</v>
      </c>
      <c r="D10" s="150">
        <v>1</v>
      </c>
      <c r="E10" s="115" t="s">
        <v>55</v>
      </c>
      <c r="F10" s="155">
        <v>2</v>
      </c>
      <c r="G10" s="89" t="str">
        <f>G8</f>
        <v>矢　倉</v>
      </c>
      <c r="H10" s="111" t="str">
        <f>G5</f>
        <v>下　田</v>
      </c>
      <c r="I10" s="90" t="str">
        <f>M6</f>
        <v>生野朝鮮初級</v>
      </c>
      <c r="J10" s="152">
        <v>0</v>
      </c>
      <c r="K10" s="115" t="s">
        <v>55</v>
      </c>
      <c r="L10" s="155">
        <v>0</v>
      </c>
      <c r="M10" s="229" t="str">
        <f>M8</f>
        <v>ﾃﾞｨｱﾌﾞﾛｯｻ高田</v>
      </c>
      <c r="N10" s="111" t="str">
        <f>M5</f>
        <v>GINGA</v>
      </c>
      <c r="P10" s="246"/>
      <c r="Q10" s="183" t="s">
        <v>172</v>
      </c>
      <c r="R10" s="487"/>
      <c r="T10" s="249"/>
      <c r="U10" s="183" t="s">
        <v>176</v>
      </c>
      <c r="V10" s="503"/>
    </row>
    <row r="11" spans="1:17" ht="11.25" customHeight="1">
      <c r="A11" s="482" t="s">
        <v>76</v>
      </c>
      <c r="B11" s="484">
        <v>0.5833333333333334</v>
      </c>
      <c r="C11" s="491" t="str">
        <f>IF('予選'!AI27="","Ⅰの３位",'予選'!AI27)</f>
        <v>下　田</v>
      </c>
      <c r="D11" s="150">
        <v>1</v>
      </c>
      <c r="E11" s="115" t="s">
        <v>55</v>
      </c>
      <c r="F11" s="152">
        <v>1</v>
      </c>
      <c r="G11" s="489" t="str">
        <f>IF('予選'!AI30="","Ⅱの３位",'予選'!AI30)</f>
        <v>白　鷺</v>
      </c>
      <c r="H11" s="492" t="str">
        <f>G15</f>
        <v>三　笠</v>
      </c>
      <c r="I11" s="491" t="str">
        <f>IF('予選'!AI57="","Ⅰの３位",'予選'!AI57)</f>
        <v>岩出市</v>
      </c>
      <c r="J11" s="150">
        <v>0</v>
      </c>
      <c r="K11" s="115" t="s">
        <v>55</v>
      </c>
      <c r="L11" s="152">
        <v>14</v>
      </c>
      <c r="M11" s="489" t="str">
        <f>IF('予選'!AI60="","Ⅱの３位",'予選'!AI60)</f>
        <v>鳥　見</v>
      </c>
      <c r="N11" s="472" t="str">
        <f>M15</f>
        <v>ﾃﾞｨｱﾌﾞﾛｯｻ高田</v>
      </c>
      <c r="Q11" s="91"/>
    </row>
    <row r="12" spans="1:17" ht="11.25" customHeight="1" thickBot="1">
      <c r="A12" s="483"/>
      <c r="B12" s="485"/>
      <c r="C12" s="491"/>
      <c r="D12" s="150">
        <v>3</v>
      </c>
      <c r="E12" s="128" t="s">
        <v>123</v>
      </c>
      <c r="F12" s="152">
        <v>4</v>
      </c>
      <c r="G12" s="489"/>
      <c r="H12" s="492"/>
      <c r="I12" s="491"/>
      <c r="J12" s="150"/>
      <c r="K12" s="128" t="s">
        <v>123</v>
      </c>
      <c r="L12" s="152"/>
      <c r="M12" s="489"/>
      <c r="N12" s="473"/>
      <c r="O12" s="233"/>
      <c r="Q12" s="91"/>
    </row>
    <row r="13" spans="1:22" ht="11.25" customHeight="1">
      <c r="A13" s="482" t="s">
        <v>77</v>
      </c>
      <c r="B13" s="484">
        <v>0.611111111111111</v>
      </c>
      <c r="C13" s="493" t="str">
        <f>IF('予選'!U27="","Ⅰの２位",'予選'!U27)</f>
        <v>石　津</v>
      </c>
      <c r="D13" s="150">
        <v>0</v>
      </c>
      <c r="E13" s="115" t="s">
        <v>55</v>
      </c>
      <c r="F13" s="152">
        <v>1</v>
      </c>
      <c r="G13" s="489" t="str">
        <f>IF('予選'!U30="","Ⅱの２位",'予選'!U30)</f>
        <v>矢　倉</v>
      </c>
      <c r="H13" s="492" t="str">
        <f>C11</f>
        <v>下　田</v>
      </c>
      <c r="I13" s="493" t="str">
        <f>IF('予選'!U57="","Ⅰの２位",'予選'!U57)</f>
        <v>朱　雀</v>
      </c>
      <c r="J13" s="150">
        <v>1</v>
      </c>
      <c r="K13" s="115" t="s">
        <v>55</v>
      </c>
      <c r="L13" s="152">
        <v>1</v>
      </c>
      <c r="M13" s="489" t="str">
        <f>IF('予選'!U60="","Ⅱの２位",'予選'!U60)</f>
        <v>生野朝鮮初級</v>
      </c>
      <c r="N13" s="472" t="str">
        <f>I11</f>
        <v>岩出市</v>
      </c>
      <c r="P13" s="508" t="s">
        <v>99</v>
      </c>
      <c r="Q13" s="244" t="s">
        <v>95</v>
      </c>
      <c r="R13" s="244" t="s">
        <v>94</v>
      </c>
      <c r="T13" s="244" t="s">
        <v>103</v>
      </c>
      <c r="U13" s="244" t="s">
        <v>95</v>
      </c>
      <c r="V13" s="244" t="s">
        <v>94</v>
      </c>
    </row>
    <row r="14" spans="1:22" ht="11.25" customHeight="1" thickBot="1">
      <c r="A14" s="483"/>
      <c r="B14" s="485"/>
      <c r="C14" s="493"/>
      <c r="D14" s="150"/>
      <c r="E14" s="128" t="s">
        <v>123</v>
      </c>
      <c r="F14" s="152"/>
      <c r="G14" s="489"/>
      <c r="H14" s="492"/>
      <c r="I14" s="493"/>
      <c r="J14" s="150">
        <v>0</v>
      </c>
      <c r="K14" s="128" t="s">
        <v>123</v>
      </c>
      <c r="L14" s="152">
        <v>2</v>
      </c>
      <c r="M14" s="489"/>
      <c r="N14" s="474"/>
      <c r="P14" s="509"/>
      <c r="Q14" s="246"/>
      <c r="R14" s="246"/>
      <c r="T14" s="246"/>
      <c r="U14" s="246"/>
      <c r="V14" s="246"/>
    </row>
    <row r="15" spans="1:22" ht="11.25" customHeight="1">
      <c r="A15" s="482" t="s">
        <v>78</v>
      </c>
      <c r="B15" s="484">
        <v>0.638888888888889</v>
      </c>
      <c r="C15" s="493" t="str">
        <f>IF('予選'!G27="","Ⅰの１位",'予選'!G27)</f>
        <v>奈良YMCA</v>
      </c>
      <c r="D15" s="150">
        <v>3</v>
      </c>
      <c r="E15" s="115" t="s">
        <v>55</v>
      </c>
      <c r="F15" s="155">
        <v>0</v>
      </c>
      <c r="G15" s="489" t="str">
        <f>IF('予選'!G30="","Ⅱの１位",'予選'!G30)</f>
        <v>三　笠</v>
      </c>
      <c r="H15" s="492" t="str">
        <f>G13</f>
        <v>矢　倉</v>
      </c>
      <c r="I15" s="493" t="str">
        <f>IF('予選'!G57="","Ⅰの１位",'予選'!G57)</f>
        <v>GINGA</v>
      </c>
      <c r="J15" s="150">
        <v>2</v>
      </c>
      <c r="K15" s="115" t="s">
        <v>55</v>
      </c>
      <c r="L15" s="155">
        <v>3</v>
      </c>
      <c r="M15" s="489" t="str">
        <f>IF('予選'!G60="","Ⅱの１位",'予選'!G60)</f>
        <v>ﾃﾞｨｱﾌﾞﾛｯｻ高田</v>
      </c>
      <c r="N15" s="472" t="str">
        <f>M13</f>
        <v>生野朝鮮初級</v>
      </c>
      <c r="P15" s="508" t="s">
        <v>97</v>
      </c>
      <c r="Q15" s="486" t="s">
        <v>177</v>
      </c>
      <c r="R15" s="504" t="s">
        <v>152</v>
      </c>
      <c r="T15" s="249" t="s">
        <v>97</v>
      </c>
      <c r="U15" s="486" t="s">
        <v>187</v>
      </c>
      <c r="V15" s="504" t="s">
        <v>253</v>
      </c>
    </row>
    <row r="16" spans="1:22" ht="11.25" customHeight="1" thickBot="1">
      <c r="A16" s="483"/>
      <c r="B16" s="485"/>
      <c r="C16" s="498"/>
      <c r="D16" s="153"/>
      <c r="E16" s="130" t="s">
        <v>123</v>
      </c>
      <c r="F16" s="157"/>
      <c r="G16" s="490"/>
      <c r="H16" s="510"/>
      <c r="I16" s="512"/>
      <c r="J16" s="159"/>
      <c r="K16" s="130" t="s">
        <v>123</v>
      </c>
      <c r="L16" s="157"/>
      <c r="M16" s="490"/>
      <c r="N16" s="475"/>
      <c r="P16" s="245"/>
      <c r="Q16" s="487"/>
      <c r="R16" s="505"/>
      <c r="T16" s="249"/>
      <c r="U16" s="487"/>
      <c r="V16" s="505"/>
    </row>
    <row r="17" spans="1:22" ht="21" customHeight="1" thickBot="1">
      <c r="A17" s="92"/>
      <c r="B17" s="92"/>
      <c r="C17" s="92"/>
      <c r="D17" s="92"/>
      <c r="E17" s="92"/>
      <c r="F17" s="92"/>
      <c r="G17" s="92"/>
      <c r="H17" s="91"/>
      <c r="I17" s="93"/>
      <c r="J17" s="93"/>
      <c r="K17" s="93"/>
      <c r="L17" s="93"/>
      <c r="M17" s="93"/>
      <c r="N17" s="93"/>
      <c r="P17" s="245"/>
      <c r="Q17" s="183" t="s">
        <v>154</v>
      </c>
      <c r="R17" s="505"/>
      <c r="T17" s="249"/>
      <c r="U17" s="183" t="s">
        <v>162</v>
      </c>
      <c r="V17" s="505"/>
    </row>
    <row r="18" spans="1:22" ht="18.75" customHeight="1" thickBot="1">
      <c r="A18" s="82" t="s">
        <v>7</v>
      </c>
      <c r="B18" s="82" t="s">
        <v>0</v>
      </c>
      <c r="C18" s="83" t="str">
        <f>P23</f>
        <v>C</v>
      </c>
      <c r="D18" s="495" t="str">
        <f>IF(R24="","Ｃ会場",R24)</f>
        <v>鴻池サブＧ（Ｂ）</v>
      </c>
      <c r="E18" s="495"/>
      <c r="F18" s="495"/>
      <c r="G18" s="496"/>
      <c r="H18" s="84" t="s">
        <v>4</v>
      </c>
      <c r="I18" s="83" t="str">
        <f>P34</f>
        <v>D</v>
      </c>
      <c r="J18" s="495" t="str">
        <f>IF(R35="","Ｄ会場",R35)</f>
        <v>鴻池投擲場Ｇ</v>
      </c>
      <c r="K18" s="495"/>
      <c r="L18" s="495"/>
      <c r="M18" s="496"/>
      <c r="N18" s="84" t="s">
        <v>4</v>
      </c>
      <c r="P18" s="246"/>
      <c r="Q18" s="183" t="s">
        <v>147</v>
      </c>
      <c r="R18" s="505"/>
      <c r="T18" s="249"/>
      <c r="U18" s="183" t="s">
        <v>163</v>
      </c>
      <c r="V18" s="505"/>
    </row>
    <row r="19" spans="1:22" ht="18.75" customHeight="1" thickBot="1">
      <c r="A19" s="82" t="s">
        <v>70</v>
      </c>
      <c r="B19" s="99">
        <v>0.3958333333333333</v>
      </c>
      <c r="C19" s="85" t="str">
        <f>IF(Q24="","Ⅰ－１",Q24)</f>
        <v>富雄第三</v>
      </c>
      <c r="D19" s="149">
        <v>0</v>
      </c>
      <c r="E19" s="114" t="s">
        <v>55</v>
      </c>
      <c r="F19" s="160">
        <v>2</v>
      </c>
      <c r="G19" s="86" t="str">
        <f>IF(Q25="","Ⅰ－２",Q25)</f>
        <v>泉</v>
      </c>
      <c r="H19" s="110" t="str">
        <f>C20</f>
        <v>奈良FCjr</v>
      </c>
      <c r="I19" s="85" t="str">
        <f>IF(Q35="","Ⅰ－１",Q35)</f>
        <v>富　雄</v>
      </c>
      <c r="J19" s="149">
        <v>0</v>
      </c>
      <c r="K19" s="114" t="s">
        <v>55</v>
      </c>
      <c r="L19" s="154">
        <v>4</v>
      </c>
      <c r="M19" s="230" t="str">
        <f>IF(Q36="","Ⅰ－２",Q36)</f>
        <v>センチュリー</v>
      </c>
      <c r="N19" s="110" t="str">
        <f>I20</f>
        <v>アルボーレ</v>
      </c>
      <c r="P19" s="497" t="s">
        <v>98</v>
      </c>
      <c r="Q19" s="183" t="s">
        <v>179</v>
      </c>
      <c r="R19" s="505"/>
      <c r="T19" s="249" t="s">
        <v>98</v>
      </c>
      <c r="U19" s="183" t="s">
        <v>128</v>
      </c>
      <c r="V19" s="505"/>
    </row>
    <row r="20" spans="1:22" ht="18.75" customHeight="1" thickBot="1">
      <c r="A20" s="82" t="s">
        <v>71</v>
      </c>
      <c r="B20" s="99">
        <v>0.4236111111111111</v>
      </c>
      <c r="C20" s="87" t="str">
        <f>IF(Q29="","Ⅱ－１",Q29)</f>
        <v>奈良FCjr</v>
      </c>
      <c r="D20" s="150">
        <v>1</v>
      </c>
      <c r="E20" s="115" t="s">
        <v>55</v>
      </c>
      <c r="F20" s="152">
        <v>0</v>
      </c>
      <c r="G20" s="88" t="str">
        <f>IF(Q31="","Ⅱ－２",Q31)</f>
        <v>門真北風</v>
      </c>
      <c r="H20" s="111" t="str">
        <f>C19</f>
        <v>富雄第三</v>
      </c>
      <c r="I20" s="87" t="str">
        <f>IF(Q38="","Ⅱ－１",Q38)</f>
        <v>アルボーレ</v>
      </c>
      <c r="J20" s="150">
        <v>0</v>
      </c>
      <c r="K20" s="115" t="s">
        <v>55</v>
      </c>
      <c r="L20" s="155">
        <v>4</v>
      </c>
      <c r="M20" s="232" t="str">
        <f>IF(Q39="","Ⅱ－２",Q39)</f>
        <v>CAOS</v>
      </c>
      <c r="N20" s="111" t="str">
        <f>I19</f>
        <v>富　雄</v>
      </c>
      <c r="P20" s="497"/>
      <c r="Q20" s="183" t="s">
        <v>127</v>
      </c>
      <c r="R20" s="505"/>
      <c r="T20" s="249"/>
      <c r="U20" s="183" t="s">
        <v>125</v>
      </c>
      <c r="V20" s="505"/>
    </row>
    <row r="21" spans="1:22" ht="18.75" customHeight="1" thickBot="1">
      <c r="A21" s="82" t="s">
        <v>72</v>
      </c>
      <c r="B21" s="99">
        <v>0.4513888888888889</v>
      </c>
      <c r="C21" s="87" t="str">
        <f>C19</f>
        <v>富雄第三</v>
      </c>
      <c r="D21" s="150">
        <v>0</v>
      </c>
      <c r="E21" s="115" t="s">
        <v>55</v>
      </c>
      <c r="F21" s="152">
        <v>7</v>
      </c>
      <c r="G21" s="88" t="str">
        <f>IF(Q27="","Ⅰ－３",Q27)</f>
        <v>滋賀ｾﾝﾄﾗﾙ</v>
      </c>
      <c r="H21" s="111" t="str">
        <f>G20</f>
        <v>門真北風</v>
      </c>
      <c r="I21" s="87" t="str">
        <f>I19</f>
        <v>富　雄</v>
      </c>
      <c r="J21" s="150">
        <v>0</v>
      </c>
      <c r="K21" s="115" t="s">
        <v>55</v>
      </c>
      <c r="L21" s="155">
        <v>1</v>
      </c>
      <c r="M21" s="232" t="str">
        <f>IF(Q37="","Ⅰ－３",Q37)</f>
        <v>高石中央</v>
      </c>
      <c r="N21" s="111" t="str">
        <f>M20</f>
        <v>CAOS</v>
      </c>
      <c r="P21" s="497"/>
      <c r="Q21" s="183" t="s">
        <v>197</v>
      </c>
      <c r="R21" s="506"/>
      <c r="T21" s="249"/>
      <c r="U21" s="183" t="s">
        <v>186</v>
      </c>
      <c r="V21" s="506"/>
    </row>
    <row r="22" spans="1:14" ht="18.75" customHeight="1" thickBot="1">
      <c r="A22" s="82" t="s">
        <v>73</v>
      </c>
      <c r="B22" s="99">
        <v>0.4791666666666667</v>
      </c>
      <c r="C22" s="87" t="str">
        <f>C20</f>
        <v>奈良FCjr</v>
      </c>
      <c r="D22" s="150">
        <v>1</v>
      </c>
      <c r="E22" s="115" t="s">
        <v>55</v>
      </c>
      <c r="F22" s="152">
        <v>0</v>
      </c>
      <c r="G22" s="89" t="str">
        <f>IF(Q32="","Ⅱ－３",Q32)</f>
        <v>柏原キッズ</v>
      </c>
      <c r="H22" s="112" t="str">
        <f>G21</f>
        <v>滋賀ｾﾝﾄﾗﾙ</v>
      </c>
      <c r="I22" s="87" t="str">
        <f>I20</f>
        <v>アルボーレ</v>
      </c>
      <c r="J22" s="150">
        <v>2</v>
      </c>
      <c r="K22" s="115" t="s">
        <v>55</v>
      </c>
      <c r="L22" s="155">
        <v>2</v>
      </c>
      <c r="M22" s="229" t="str">
        <f>IF(Q41="","Ⅱ－３",Q41)</f>
        <v>FCうりぼう</v>
      </c>
      <c r="N22" s="112" t="str">
        <f>M21</f>
        <v>高石中央</v>
      </c>
    </row>
    <row r="23" spans="1:22" ht="18.75" customHeight="1" thickBot="1">
      <c r="A23" s="82" t="s">
        <v>74</v>
      </c>
      <c r="B23" s="99">
        <v>0.5069444444444444</v>
      </c>
      <c r="C23" s="87" t="str">
        <f>G19</f>
        <v>泉</v>
      </c>
      <c r="D23" s="158">
        <v>1</v>
      </c>
      <c r="E23" s="115" t="s">
        <v>55</v>
      </c>
      <c r="F23" s="152">
        <v>0</v>
      </c>
      <c r="G23" s="88" t="str">
        <f>G21</f>
        <v>滋賀ｾﾝﾄﾗﾙ</v>
      </c>
      <c r="H23" s="111" t="str">
        <f>G22</f>
        <v>柏原キッズ</v>
      </c>
      <c r="I23" s="87" t="str">
        <f>M19</f>
        <v>センチュリー</v>
      </c>
      <c r="J23" s="150">
        <v>1</v>
      </c>
      <c r="K23" s="115" t="s">
        <v>55</v>
      </c>
      <c r="L23" s="155">
        <v>3</v>
      </c>
      <c r="M23" s="232" t="str">
        <f>M21</f>
        <v>高石中央</v>
      </c>
      <c r="N23" s="111" t="str">
        <f>M22</f>
        <v>FCうりぼう</v>
      </c>
      <c r="P23" s="107" t="s">
        <v>100</v>
      </c>
      <c r="Q23" s="107" t="s">
        <v>95</v>
      </c>
      <c r="R23" s="107" t="s">
        <v>94</v>
      </c>
      <c r="T23" s="107" t="s">
        <v>104</v>
      </c>
      <c r="U23" s="107" t="s">
        <v>95</v>
      </c>
      <c r="V23" s="107" t="s">
        <v>94</v>
      </c>
    </row>
    <row r="24" spans="1:22" ht="18.75" customHeight="1" thickBot="1">
      <c r="A24" s="82" t="s">
        <v>75</v>
      </c>
      <c r="B24" s="99">
        <v>0.5347222222222222</v>
      </c>
      <c r="C24" s="90" t="str">
        <f>G20</f>
        <v>門真北風</v>
      </c>
      <c r="D24" s="150">
        <v>1</v>
      </c>
      <c r="E24" s="115" t="s">
        <v>55</v>
      </c>
      <c r="F24" s="152">
        <v>1</v>
      </c>
      <c r="G24" s="89" t="str">
        <f>G22</f>
        <v>柏原キッズ</v>
      </c>
      <c r="H24" s="111" t="str">
        <f>G19</f>
        <v>泉</v>
      </c>
      <c r="I24" s="90" t="str">
        <f>M20</f>
        <v>CAOS</v>
      </c>
      <c r="J24" s="150">
        <v>0</v>
      </c>
      <c r="K24" s="115" t="s">
        <v>55</v>
      </c>
      <c r="L24" s="155">
        <v>1</v>
      </c>
      <c r="M24" s="229" t="str">
        <f>M22</f>
        <v>FCうりぼう</v>
      </c>
      <c r="N24" s="111" t="str">
        <f>M19</f>
        <v>センチュリー</v>
      </c>
      <c r="P24" s="244" t="s">
        <v>97</v>
      </c>
      <c r="Q24" s="183" t="s">
        <v>155</v>
      </c>
      <c r="R24" s="486" t="s">
        <v>153</v>
      </c>
      <c r="T24" s="244" t="s">
        <v>97</v>
      </c>
      <c r="U24" s="184" t="s">
        <v>164</v>
      </c>
      <c r="V24" s="504" t="s">
        <v>151</v>
      </c>
    </row>
    <row r="25" spans="1:22" ht="11.25" customHeight="1">
      <c r="A25" s="482" t="s">
        <v>76</v>
      </c>
      <c r="B25" s="484">
        <v>0.5833333333333334</v>
      </c>
      <c r="C25" s="491" t="str">
        <f>IF('予選'!AI87="","Ⅰの３位",'予選'!AI87)</f>
        <v>富雄第三</v>
      </c>
      <c r="D25" s="150">
        <v>1</v>
      </c>
      <c r="E25" s="115" t="s">
        <v>55</v>
      </c>
      <c r="F25" s="152">
        <v>1</v>
      </c>
      <c r="G25" s="489" t="str">
        <f>IF('予選'!AI90="","Ⅱの３位",'予選'!AI90)</f>
        <v>柏原キッズ</v>
      </c>
      <c r="H25" s="492" t="str">
        <f>G29</f>
        <v>奈良FCjr</v>
      </c>
      <c r="I25" s="491" t="str">
        <f>IF('予選 (2)'!AI27="","Ⅰの３位",'予選 (2)'!AI27)</f>
        <v>富　雄</v>
      </c>
      <c r="J25" s="150">
        <v>2</v>
      </c>
      <c r="K25" s="115" t="s">
        <v>55</v>
      </c>
      <c r="L25" s="155">
        <v>1</v>
      </c>
      <c r="M25" s="489" t="str">
        <f>IF('予選 (2)'!AI30="","Ⅱの３位",'予選 (2)'!AI30)</f>
        <v>アルボーレ</v>
      </c>
      <c r="N25" s="472" t="str">
        <f>M29</f>
        <v>FCうりぼう</v>
      </c>
      <c r="P25" s="245"/>
      <c r="Q25" s="499" t="s">
        <v>124</v>
      </c>
      <c r="R25" s="488"/>
      <c r="T25" s="245"/>
      <c r="U25" s="486" t="s">
        <v>185</v>
      </c>
      <c r="V25" s="505"/>
    </row>
    <row r="26" spans="1:22" ht="11.25" customHeight="1" thickBot="1">
      <c r="A26" s="483"/>
      <c r="B26" s="485"/>
      <c r="C26" s="491"/>
      <c r="D26" s="150">
        <v>1</v>
      </c>
      <c r="E26" s="128" t="s">
        <v>123</v>
      </c>
      <c r="F26" s="152">
        <v>2</v>
      </c>
      <c r="G26" s="489"/>
      <c r="H26" s="492"/>
      <c r="I26" s="491"/>
      <c r="J26" s="150"/>
      <c r="K26" s="128" t="s">
        <v>123</v>
      </c>
      <c r="L26" s="155"/>
      <c r="M26" s="489"/>
      <c r="N26" s="473"/>
      <c r="P26" s="245"/>
      <c r="Q26" s="500"/>
      <c r="R26" s="488"/>
      <c r="T26" s="245"/>
      <c r="U26" s="487"/>
      <c r="V26" s="505"/>
    </row>
    <row r="27" spans="1:22" ht="11.25" customHeight="1">
      <c r="A27" s="482" t="s">
        <v>77</v>
      </c>
      <c r="B27" s="484">
        <v>0.611111111111111</v>
      </c>
      <c r="C27" s="491" t="str">
        <f>IF('予選'!U87="","Ⅰの２位",'予選'!U87)</f>
        <v>滋賀ｾﾝﾄﾗﾙ</v>
      </c>
      <c r="D27" s="150">
        <v>0</v>
      </c>
      <c r="E27" s="115" t="s">
        <v>55</v>
      </c>
      <c r="F27" s="152">
        <v>1</v>
      </c>
      <c r="G27" s="489" t="str">
        <f>IF('予選'!U90="","Ⅱの２位",'予選'!U90)</f>
        <v>門真北風</v>
      </c>
      <c r="H27" s="494" t="str">
        <f>C25</f>
        <v>富雄第三</v>
      </c>
      <c r="I27" s="491" t="str">
        <f>IF('予選 (2)'!U27="","Ⅰの２位",'予選 (2)'!U27)</f>
        <v>センチュリー</v>
      </c>
      <c r="J27" s="150">
        <v>1</v>
      </c>
      <c r="K27" s="115" t="s">
        <v>55</v>
      </c>
      <c r="L27" s="155">
        <v>3</v>
      </c>
      <c r="M27" s="489" t="str">
        <f>IF('予選 (2)'!U30="","Ⅱの２位",'予選 (2)'!U30)</f>
        <v>CAOS</v>
      </c>
      <c r="N27" s="472" t="str">
        <f>I25</f>
        <v>富　雄</v>
      </c>
      <c r="P27" s="245"/>
      <c r="Q27" s="486" t="s">
        <v>198</v>
      </c>
      <c r="R27" s="488"/>
      <c r="T27" s="245"/>
      <c r="U27" s="486" t="s">
        <v>180</v>
      </c>
      <c r="V27" s="505"/>
    </row>
    <row r="28" spans="1:22" ht="11.25" customHeight="1" thickBot="1">
      <c r="A28" s="483"/>
      <c r="B28" s="485"/>
      <c r="C28" s="491"/>
      <c r="D28" s="150"/>
      <c r="E28" s="128" t="s">
        <v>123</v>
      </c>
      <c r="F28" s="152"/>
      <c r="G28" s="489"/>
      <c r="H28" s="494"/>
      <c r="I28" s="491"/>
      <c r="J28" s="150"/>
      <c r="K28" s="128" t="s">
        <v>123</v>
      </c>
      <c r="L28" s="152"/>
      <c r="M28" s="511"/>
      <c r="N28" s="474"/>
      <c r="P28" s="246"/>
      <c r="Q28" s="487"/>
      <c r="R28" s="488"/>
      <c r="T28" s="246"/>
      <c r="U28" s="487"/>
      <c r="V28" s="505"/>
    </row>
    <row r="29" spans="1:22" ht="11.25" customHeight="1">
      <c r="A29" s="482" t="s">
        <v>78</v>
      </c>
      <c r="B29" s="484">
        <v>0.638888888888889</v>
      </c>
      <c r="C29" s="491" t="str">
        <f>IF('予選'!G87="","Ⅰの１位",'予選'!G87)</f>
        <v>泉</v>
      </c>
      <c r="D29" s="150">
        <v>2</v>
      </c>
      <c r="E29" s="115" t="s">
        <v>55</v>
      </c>
      <c r="F29" s="155">
        <v>1</v>
      </c>
      <c r="G29" s="489" t="str">
        <f>IF('予選'!G90="","Ⅱの１位",'予選'!G90)</f>
        <v>奈良FCjr</v>
      </c>
      <c r="H29" s="492" t="str">
        <f>G27</f>
        <v>門真北風</v>
      </c>
      <c r="I29" s="491" t="str">
        <f>IF('予選 (2)'!G27="","Ⅰの１位",'予選 (2)'!G27)</f>
        <v>高石中央</v>
      </c>
      <c r="J29" s="150">
        <v>3</v>
      </c>
      <c r="K29" s="115" t="s">
        <v>55</v>
      </c>
      <c r="L29" s="155">
        <v>1</v>
      </c>
      <c r="M29" s="489" t="str">
        <f>IF('予選 (2)'!G30="","Ⅱの１位",'予選 (2)'!G30)</f>
        <v>FCうりぼう</v>
      </c>
      <c r="N29" s="472" t="str">
        <f>M27</f>
        <v>CAOS</v>
      </c>
      <c r="P29" s="249" t="s">
        <v>98</v>
      </c>
      <c r="Q29" s="486" t="s">
        <v>156</v>
      </c>
      <c r="R29" s="488"/>
      <c r="T29" s="497" t="s">
        <v>98</v>
      </c>
      <c r="U29" s="486" t="s">
        <v>184</v>
      </c>
      <c r="V29" s="505"/>
    </row>
    <row r="30" spans="1:22" ht="11.25" customHeight="1" thickBot="1">
      <c r="A30" s="483"/>
      <c r="B30" s="485"/>
      <c r="C30" s="498"/>
      <c r="D30" s="159"/>
      <c r="E30" s="130" t="s">
        <v>123</v>
      </c>
      <c r="F30" s="157"/>
      <c r="G30" s="490"/>
      <c r="H30" s="510"/>
      <c r="I30" s="498"/>
      <c r="J30" s="159"/>
      <c r="K30" s="130" t="s">
        <v>123</v>
      </c>
      <c r="L30" s="157"/>
      <c r="M30" s="490"/>
      <c r="N30" s="475"/>
      <c r="P30" s="249"/>
      <c r="Q30" s="487"/>
      <c r="R30" s="488"/>
      <c r="T30" s="497"/>
      <c r="U30" s="487"/>
      <c r="V30" s="505"/>
    </row>
    <row r="31" spans="1:22" ht="21.75" customHeight="1" thickBo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P31" s="249"/>
      <c r="Q31" s="183" t="s">
        <v>157</v>
      </c>
      <c r="R31" s="488"/>
      <c r="T31" s="497"/>
      <c r="U31" s="183" t="s">
        <v>183</v>
      </c>
      <c r="V31" s="505"/>
    </row>
    <row r="32" spans="1:22" ht="18.75" customHeight="1" thickBot="1">
      <c r="A32" s="82" t="s">
        <v>7</v>
      </c>
      <c r="B32" s="95" t="s">
        <v>0</v>
      </c>
      <c r="C32" s="83" t="str">
        <f>T4</f>
        <v>E</v>
      </c>
      <c r="D32" s="495" t="str">
        <f>IF(V5="","Ｅ会場",V5)</f>
        <v>鴻池多目的Ｇ</v>
      </c>
      <c r="E32" s="495"/>
      <c r="F32" s="495"/>
      <c r="G32" s="496"/>
      <c r="H32" s="84" t="s">
        <v>4</v>
      </c>
      <c r="I32" s="83" t="str">
        <f>T13</f>
        <v>F</v>
      </c>
      <c r="J32" s="495" t="str">
        <f>IF(V15="","Ｆ会場",V15)</f>
        <v>川西小学校Ｇ</v>
      </c>
      <c r="K32" s="495"/>
      <c r="L32" s="495"/>
      <c r="M32" s="496"/>
      <c r="N32" s="84" t="s">
        <v>4</v>
      </c>
      <c r="P32" s="249"/>
      <c r="Q32" s="183" t="s">
        <v>252</v>
      </c>
      <c r="R32" s="487"/>
      <c r="T32" s="497"/>
      <c r="U32" s="183" t="s">
        <v>165</v>
      </c>
      <c r="V32" s="506"/>
    </row>
    <row r="33" spans="1:15" ht="18.75" customHeight="1" thickBot="1">
      <c r="A33" s="82" t="s">
        <v>70</v>
      </c>
      <c r="B33" s="99">
        <v>0.3958333333333333</v>
      </c>
      <c r="C33" s="85" t="str">
        <f>IF(U5="","Ⅰ－１",U5)</f>
        <v>ディスパーロ</v>
      </c>
      <c r="D33" s="149">
        <v>0</v>
      </c>
      <c r="E33" s="114" t="s">
        <v>55</v>
      </c>
      <c r="F33" s="160">
        <v>5</v>
      </c>
      <c r="G33" s="86" t="str">
        <f>IF(U6="","Ⅰ－２",U6)</f>
        <v>柏　田</v>
      </c>
      <c r="H33" s="110" t="str">
        <f>C34</f>
        <v>辰　市</v>
      </c>
      <c r="I33" s="85" t="str">
        <f>IF(U15="","Ⅰ－１",U15)</f>
        <v>明　治</v>
      </c>
      <c r="J33" s="149">
        <v>0</v>
      </c>
      <c r="K33" s="114" t="s">
        <v>55</v>
      </c>
      <c r="L33" s="154">
        <v>16</v>
      </c>
      <c r="M33" s="86" t="str">
        <f>IF(U17="","Ⅰ－２",U17)</f>
        <v>ﾊﾟﾙﾃｨｰﾀﾞ生駒</v>
      </c>
      <c r="N33" s="218" t="str">
        <f>I34</f>
        <v>Del Sole Shiki</v>
      </c>
      <c r="O33" s="219"/>
    </row>
    <row r="34" spans="1:22" ht="18.75" customHeight="1" thickBot="1">
      <c r="A34" s="82" t="s">
        <v>71</v>
      </c>
      <c r="B34" s="99">
        <v>0.4236111111111111</v>
      </c>
      <c r="C34" s="87" t="str">
        <f>IF(U8="","Ⅱ－１",U8)</f>
        <v>辰　市</v>
      </c>
      <c r="D34" s="150">
        <v>0</v>
      </c>
      <c r="E34" s="115" t="s">
        <v>55</v>
      </c>
      <c r="F34" s="155">
        <v>5</v>
      </c>
      <c r="G34" s="88" t="str">
        <f>IF(U9="","Ⅱ－２",U9)</f>
        <v>ﾃﾞｨｱﾌﾞﾛｯｻ大阪</v>
      </c>
      <c r="H34" s="111" t="str">
        <f>C33</f>
        <v>ディスパーロ</v>
      </c>
      <c r="I34" s="87" t="str">
        <f>IF(U19="","Ⅱ－１",U19)</f>
        <v>Del Sole Shiki</v>
      </c>
      <c r="J34" s="150">
        <v>6</v>
      </c>
      <c r="K34" s="115" t="s">
        <v>55</v>
      </c>
      <c r="L34" s="155">
        <v>0</v>
      </c>
      <c r="M34" s="88" t="str">
        <f>IF(U20="","Ⅱ－２",U20)</f>
        <v>奈良伏見</v>
      </c>
      <c r="N34" s="111" t="str">
        <f>I33</f>
        <v>明　治</v>
      </c>
      <c r="P34" s="107" t="s">
        <v>101</v>
      </c>
      <c r="Q34" s="107" t="s">
        <v>95</v>
      </c>
      <c r="R34" s="107" t="s">
        <v>94</v>
      </c>
      <c r="T34" s="107" t="s">
        <v>105</v>
      </c>
      <c r="U34" s="108" t="s">
        <v>95</v>
      </c>
      <c r="V34" s="107" t="s">
        <v>94</v>
      </c>
    </row>
    <row r="35" spans="1:22" ht="18.75" customHeight="1" thickBot="1">
      <c r="A35" s="82" t="s">
        <v>72</v>
      </c>
      <c r="B35" s="99">
        <v>0.4513888888888889</v>
      </c>
      <c r="C35" s="87" t="str">
        <f>C33</f>
        <v>ディスパーロ</v>
      </c>
      <c r="D35" s="150">
        <v>0</v>
      </c>
      <c r="E35" s="115" t="s">
        <v>55</v>
      </c>
      <c r="F35" s="155">
        <v>3</v>
      </c>
      <c r="G35" s="88" t="str">
        <f>IF(U7="","Ⅰ－３",U7)</f>
        <v>高　市</v>
      </c>
      <c r="H35" s="111" t="str">
        <f>G34</f>
        <v>ﾃﾞｨｱﾌﾞﾛｯｻ大阪</v>
      </c>
      <c r="I35" s="87" t="str">
        <f>I33</f>
        <v>明　治</v>
      </c>
      <c r="J35" s="150">
        <v>0</v>
      </c>
      <c r="K35" s="115" t="s">
        <v>55</v>
      </c>
      <c r="L35" s="155">
        <v>6</v>
      </c>
      <c r="M35" s="88" t="str">
        <f>IF(U18="","Ⅰ－３",U18)</f>
        <v>エルマーノ大阪</v>
      </c>
      <c r="N35" s="111" t="str">
        <f>M34</f>
        <v>奈良伏見</v>
      </c>
      <c r="P35" s="249" t="s">
        <v>97</v>
      </c>
      <c r="Q35" s="183" t="s">
        <v>181</v>
      </c>
      <c r="R35" s="486" t="s">
        <v>150</v>
      </c>
      <c r="T35" s="497" t="s">
        <v>97</v>
      </c>
      <c r="U35" s="183" t="s">
        <v>126</v>
      </c>
      <c r="V35" s="504" t="s">
        <v>254</v>
      </c>
    </row>
    <row r="36" spans="1:22" ht="18.75" customHeight="1" thickBot="1">
      <c r="A36" s="82" t="s">
        <v>73</v>
      </c>
      <c r="B36" s="99">
        <v>0.4791666666666667</v>
      </c>
      <c r="C36" s="87" t="str">
        <f>C34</f>
        <v>辰　市</v>
      </c>
      <c r="D36" s="150">
        <v>0</v>
      </c>
      <c r="E36" s="115" t="s">
        <v>55</v>
      </c>
      <c r="F36" s="155">
        <v>3</v>
      </c>
      <c r="G36" s="89" t="str">
        <f>IF(U10="","Ⅱ－３",U10)</f>
        <v>金　田</v>
      </c>
      <c r="H36" s="112" t="str">
        <f>G35</f>
        <v>高　市</v>
      </c>
      <c r="I36" s="87" t="str">
        <f>I34</f>
        <v>Del Sole Shiki</v>
      </c>
      <c r="J36" s="150">
        <v>0</v>
      </c>
      <c r="K36" s="115" t="s">
        <v>55</v>
      </c>
      <c r="L36" s="155">
        <v>0</v>
      </c>
      <c r="M36" s="89" t="str">
        <f>IF(U21="","Ⅱ－３",U21)</f>
        <v>蔵　持</v>
      </c>
      <c r="N36" s="112" t="str">
        <f>M35</f>
        <v>エルマーノ大阪</v>
      </c>
      <c r="P36" s="249"/>
      <c r="Q36" s="183" t="s">
        <v>158</v>
      </c>
      <c r="R36" s="488"/>
      <c r="T36" s="497"/>
      <c r="U36" s="183" t="s">
        <v>166</v>
      </c>
      <c r="V36" s="505"/>
    </row>
    <row r="37" spans="1:22" ht="18.75" customHeight="1" thickBot="1">
      <c r="A37" s="82" t="s">
        <v>74</v>
      </c>
      <c r="B37" s="99">
        <v>0.5069444444444444</v>
      </c>
      <c r="C37" s="87" t="str">
        <f>G33</f>
        <v>柏　田</v>
      </c>
      <c r="D37" s="150">
        <v>3</v>
      </c>
      <c r="E37" s="115" t="s">
        <v>55</v>
      </c>
      <c r="F37" s="155">
        <v>0</v>
      </c>
      <c r="G37" s="88" t="str">
        <f>G35</f>
        <v>高　市</v>
      </c>
      <c r="H37" s="111" t="str">
        <f>G36</f>
        <v>金　田</v>
      </c>
      <c r="I37" s="87" t="str">
        <f>M33</f>
        <v>ﾊﾟﾙﾃｨｰﾀﾞ生駒</v>
      </c>
      <c r="J37" s="150">
        <v>0</v>
      </c>
      <c r="K37" s="115" t="s">
        <v>55</v>
      </c>
      <c r="L37" s="155">
        <v>3</v>
      </c>
      <c r="M37" s="88" t="str">
        <f>M35</f>
        <v>エルマーノ大阪</v>
      </c>
      <c r="N37" s="111" t="str">
        <f>M36</f>
        <v>蔵　持</v>
      </c>
      <c r="O37" s="96"/>
      <c r="P37" s="249"/>
      <c r="Q37" s="183" t="s">
        <v>129</v>
      </c>
      <c r="R37" s="488"/>
      <c r="T37" s="497"/>
      <c r="U37" s="183" t="s">
        <v>182</v>
      </c>
      <c r="V37" s="505"/>
    </row>
    <row r="38" spans="1:22" ht="18.75" customHeight="1" thickBot="1">
      <c r="A38" s="82" t="s">
        <v>75</v>
      </c>
      <c r="B38" s="99">
        <v>0.5347222222222222</v>
      </c>
      <c r="C38" s="90" t="str">
        <f>G34</f>
        <v>ﾃﾞｨｱﾌﾞﾛｯｻ大阪</v>
      </c>
      <c r="D38" s="152">
        <v>7</v>
      </c>
      <c r="E38" s="115" t="s">
        <v>55</v>
      </c>
      <c r="F38" s="155">
        <v>0</v>
      </c>
      <c r="G38" s="89" t="str">
        <f>G36</f>
        <v>金　田</v>
      </c>
      <c r="H38" s="111" t="str">
        <f>G33</f>
        <v>柏　田</v>
      </c>
      <c r="I38" s="90" t="str">
        <f>M34</f>
        <v>奈良伏見</v>
      </c>
      <c r="J38" s="150">
        <v>1</v>
      </c>
      <c r="K38" s="115" t="s">
        <v>55</v>
      </c>
      <c r="L38" s="155">
        <v>3</v>
      </c>
      <c r="M38" s="89" t="str">
        <f>M36</f>
        <v>蔵　持</v>
      </c>
      <c r="N38" s="111" t="str">
        <f>M33</f>
        <v>ﾊﾟﾙﾃｨｰﾀﾞ生駒</v>
      </c>
      <c r="P38" s="249" t="s">
        <v>98</v>
      </c>
      <c r="Q38" s="184" t="s">
        <v>159</v>
      </c>
      <c r="R38" s="488"/>
      <c r="T38" s="497" t="s">
        <v>98</v>
      </c>
      <c r="U38" s="183" t="s">
        <v>167</v>
      </c>
      <c r="V38" s="505"/>
    </row>
    <row r="39" spans="1:22" ht="11.25" customHeight="1">
      <c r="A39" s="482" t="s">
        <v>76</v>
      </c>
      <c r="B39" s="484">
        <v>0.5833333333333334</v>
      </c>
      <c r="C39" s="476" t="str">
        <f>IF('予選 (2)'!AI57="","Ⅰの３位",'予選 (2)'!AI57)</f>
        <v>ディスパーロ</v>
      </c>
      <c r="D39" s="150">
        <v>9</v>
      </c>
      <c r="E39" s="115" t="s">
        <v>55</v>
      </c>
      <c r="F39" s="152">
        <v>1</v>
      </c>
      <c r="G39" s="479" t="str">
        <f>IF('予選 (2)'!AI60="","Ⅱの３位",'予選 (2)'!AI60)</f>
        <v>辰　市</v>
      </c>
      <c r="H39" s="472" t="str">
        <f>G43</f>
        <v>ﾃﾞｨｱﾌﾞﾛｯｻ大阪</v>
      </c>
      <c r="I39" s="476" t="str">
        <f>IF('予選 (2)'!AI87="","Ⅰの３位",'予選 (2)'!AI87)</f>
        <v>明　治</v>
      </c>
      <c r="J39" s="150">
        <v>2</v>
      </c>
      <c r="K39" s="115" t="s">
        <v>55</v>
      </c>
      <c r="L39" s="152">
        <v>3</v>
      </c>
      <c r="M39" s="479" t="str">
        <f>IF('予選 (2)'!AI90="","Ⅱの３位",'予選 (2)'!AI90)</f>
        <v>奈良伏見</v>
      </c>
      <c r="N39" s="472" t="str">
        <f>M43</f>
        <v>Del Sole Shiki</v>
      </c>
      <c r="P39" s="249"/>
      <c r="Q39" s="486" t="s">
        <v>188</v>
      </c>
      <c r="R39" s="488"/>
      <c r="T39" s="497"/>
      <c r="U39" s="486" t="s">
        <v>168</v>
      </c>
      <c r="V39" s="505"/>
    </row>
    <row r="40" spans="1:22" ht="11.25" customHeight="1" thickBot="1">
      <c r="A40" s="483"/>
      <c r="B40" s="485"/>
      <c r="C40" s="477"/>
      <c r="D40" s="150"/>
      <c r="E40" s="128" t="s">
        <v>123</v>
      </c>
      <c r="F40" s="152"/>
      <c r="G40" s="480"/>
      <c r="H40" s="473"/>
      <c r="I40" s="477"/>
      <c r="J40" s="150"/>
      <c r="K40" s="128" t="s">
        <v>123</v>
      </c>
      <c r="L40" s="152"/>
      <c r="M40" s="480"/>
      <c r="N40" s="473"/>
      <c r="P40" s="249"/>
      <c r="Q40" s="487"/>
      <c r="R40" s="488"/>
      <c r="T40" s="497"/>
      <c r="U40" s="487"/>
      <c r="V40" s="505"/>
    </row>
    <row r="41" spans="1:22" ht="11.25" customHeight="1">
      <c r="A41" s="482" t="s">
        <v>77</v>
      </c>
      <c r="B41" s="484">
        <v>0.611111111111111</v>
      </c>
      <c r="C41" s="476" t="str">
        <f>IF('予選 (2)'!U57="","Ⅰの２位",'予選 (2)'!U57)</f>
        <v>高　市</v>
      </c>
      <c r="D41" s="150">
        <v>4</v>
      </c>
      <c r="E41" s="128" t="s">
        <v>55</v>
      </c>
      <c r="F41" s="152">
        <v>2</v>
      </c>
      <c r="G41" s="479" t="str">
        <f>IF('予選 (2)'!AI60="","Ⅱの２位",'予選 (2)'!U60)</f>
        <v>金　田</v>
      </c>
      <c r="H41" s="472" t="str">
        <f>C39</f>
        <v>ディスパーロ</v>
      </c>
      <c r="I41" s="476" t="str">
        <f>IF('予選 (2)'!U87="","Ⅰの２位",'予選 (2)'!U87)</f>
        <v>ﾊﾟﾙﾃｨｰﾀﾞ生駒</v>
      </c>
      <c r="J41" s="150">
        <v>3</v>
      </c>
      <c r="K41" s="128" t="s">
        <v>55</v>
      </c>
      <c r="L41" s="152">
        <v>0</v>
      </c>
      <c r="M41" s="479" t="str">
        <f>IF('予選 (2)'!AI90="","Ⅱの２位",'予選 (2)'!U90)</f>
        <v>蔵　持</v>
      </c>
      <c r="N41" s="472" t="str">
        <f>I39</f>
        <v>明　治</v>
      </c>
      <c r="P41" s="249"/>
      <c r="Q41" s="486" t="s">
        <v>160</v>
      </c>
      <c r="R41" s="488"/>
      <c r="T41" s="497"/>
      <c r="U41" s="486" t="s">
        <v>251</v>
      </c>
      <c r="V41" s="505"/>
    </row>
    <row r="42" spans="1:22" ht="11.25" customHeight="1" thickBot="1">
      <c r="A42" s="483"/>
      <c r="B42" s="485"/>
      <c r="C42" s="477"/>
      <c r="D42" s="151"/>
      <c r="E42" s="129" t="s">
        <v>123</v>
      </c>
      <c r="F42" s="161"/>
      <c r="G42" s="480"/>
      <c r="H42" s="474"/>
      <c r="I42" s="477"/>
      <c r="J42" s="151"/>
      <c r="K42" s="129" t="s">
        <v>123</v>
      </c>
      <c r="L42" s="156"/>
      <c r="M42" s="480"/>
      <c r="N42" s="474"/>
      <c r="P42" s="249"/>
      <c r="Q42" s="487"/>
      <c r="R42" s="487"/>
      <c r="T42" s="497"/>
      <c r="U42" s="487"/>
      <c r="V42" s="506"/>
    </row>
    <row r="43" spans="1:22" ht="11.25" customHeight="1">
      <c r="A43" s="482" t="s">
        <v>78</v>
      </c>
      <c r="B43" s="484">
        <v>0.638888888888889</v>
      </c>
      <c r="C43" s="476" t="str">
        <f>IF('予選 (2)'!G57="","Ⅰの１位",'予選 (2)'!G57)</f>
        <v>柏　田</v>
      </c>
      <c r="D43" s="150">
        <v>2</v>
      </c>
      <c r="E43" s="128" t="s">
        <v>55</v>
      </c>
      <c r="F43" s="156">
        <v>0</v>
      </c>
      <c r="G43" s="479" t="str">
        <f>IF('予選 (2)'!G60="","Ⅱの１位",'予選 (2)'!G60)</f>
        <v>ﾃﾞｨｱﾌﾞﾛｯｻ大阪</v>
      </c>
      <c r="H43" s="472" t="str">
        <f>G41</f>
        <v>金　田</v>
      </c>
      <c r="I43" s="476" t="str">
        <f>IF('予選 (2)'!G87="","Ⅰの１位",'予選 (2)'!G87)</f>
        <v>エルマーノ大阪</v>
      </c>
      <c r="J43" s="150">
        <v>0</v>
      </c>
      <c r="K43" s="128" t="s">
        <v>55</v>
      </c>
      <c r="L43" s="155">
        <v>1</v>
      </c>
      <c r="M43" s="479" t="str">
        <f>IF('予選 (2)'!G90="","Ⅱの１位",'予選 (2)'!G90)</f>
        <v>Del Sole Shiki</v>
      </c>
      <c r="N43" s="472" t="str">
        <f>M41</f>
        <v>蔵　持</v>
      </c>
      <c r="P43" s="91"/>
      <c r="Q43" s="120"/>
      <c r="R43" s="120"/>
      <c r="S43" s="121"/>
      <c r="T43" s="122"/>
      <c r="U43" s="120"/>
      <c r="V43" s="120"/>
    </row>
    <row r="44" spans="1:14" ht="11.25" customHeight="1" thickBot="1">
      <c r="A44" s="483"/>
      <c r="B44" s="485"/>
      <c r="C44" s="478"/>
      <c r="D44" s="159"/>
      <c r="E44" s="130" t="s">
        <v>123</v>
      </c>
      <c r="F44" s="157"/>
      <c r="G44" s="481"/>
      <c r="H44" s="475"/>
      <c r="I44" s="478"/>
      <c r="J44" s="159"/>
      <c r="K44" s="130" t="s">
        <v>123</v>
      </c>
      <c r="L44" s="157"/>
      <c r="M44" s="481"/>
      <c r="N44" s="475"/>
    </row>
    <row r="45" spans="1:18" ht="21" customHeight="1" thickBo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P45" s="91"/>
      <c r="Q45" s="91"/>
      <c r="R45" s="91"/>
    </row>
    <row r="46" spans="1:18" ht="18.75" customHeight="1" thickBot="1">
      <c r="A46" s="97" t="s">
        <v>7</v>
      </c>
      <c r="B46" s="95" t="s">
        <v>0</v>
      </c>
      <c r="C46" s="83" t="str">
        <f>T23</f>
        <v>G</v>
      </c>
      <c r="D46" s="495" t="str">
        <f>IF(V24="","Ｇ会場",V24)</f>
        <v>西部生涯Ｇ</v>
      </c>
      <c r="E46" s="495"/>
      <c r="F46" s="495"/>
      <c r="G46" s="496"/>
      <c r="H46" s="84" t="s">
        <v>4</v>
      </c>
      <c r="I46" s="83" t="str">
        <f>T34</f>
        <v>H</v>
      </c>
      <c r="J46" s="495" t="str">
        <f>IF(V35="","Ｈ会場",V35)</f>
        <v>東市小学校G</v>
      </c>
      <c r="K46" s="495"/>
      <c r="L46" s="495"/>
      <c r="M46" s="496"/>
      <c r="N46" s="98" t="s">
        <v>4</v>
      </c>
      <c r="P46" s="507"/>
      <c r="Q46" s="91"/>
      <c r="R46" s="91"/>
    </row>
    <row r="47" spans="1:18" ht="18.75" customHeight="1" thickBot="1">
      <c r="A47" s="82" t="s">
        <v>70</v>
      </c>
      <c r="B47" s="99">
        <v>0.3958333333333333</v>
      </c>
      <c r="C47" s="85" t="str">
        <f>IF(U24="","Ⅰ－１",U24)</f>
        <v>ｿﾚｽﾃﾚｰｼﾞｬ</v>
      </c>
      <c r="D47" s="149">
        <v>1</v>
      </c>
      <c r="E47" s="114" t="s">
        <v>55</v>
      </c>
      <c r="F47" s="154">
        <v>3</v>
      </c>
      <c r="G47" s="86" t="str">
        <f>IF(U25="","Ⅰ－２",U25)</f>
        <v>野　畑</v>
      </c>
      <c r="H47" s="110" t="str">
        <f>C48</f>
        <v>六　条</v>
      </c>
      <c r="I47" s="85" t="str">
        <f>IF(U35="","Ⅰ－１",U35)</f>
        <v>あやめ池</v>
      </c>
      <c r="J47" s="149">
        <v>0</v>
      </c>
      <c r="K47" s="114" t="s">
        <v>55</v>
      </c>
      <c r="L47" s="154">
        <v>6</v>
      </c>
      <c r="M47" s="86" t="str">
        <f>IF(U36="","Ⅰ－２",U36)</f>
        <v>STELO</v>
      </c>
      <c r="N47" s="110" t="str">
        <f>I48</f>
        <v>都南東市</v>
      </c>
      <c r="P47" s="507"/>
      <c r="Q47" s="91"/>
      <c r="R47" s="91"/>
    </row>
    <row r="48" spans="1:18" ht="18.75" customHeight="1" thickBot="1">
      <c r="A48" s="82" t="s">
        <v>71</v>
      </c>
      <c r="B48" s="99">
        <v>0.4236111111111111</v>
      </c>
      <c r="C48" s="87" t="str">
        <f>IF(U29="","Ⅱ－１",U29)</f>
        <v>六　条</v>
      </c>
      <c r="D48" s="150">
        <v>0</v>
      </c>
      <c r="E48" s="115" t="s">
        <v>55</v>
      </c>
      <c r="F48" s="155">
        <v>2</v>
      </c>
      <c r="G48" s="88" t="str">
        <f>IF(U31="","Ⅱ－２",U31)</f>
        <v>桜　井</v>
      </c>
      <c r="H48" s="111" t="str">
        <f>C47</f>
        <v>ｿﾚｽﾃﾚｰｼﾞｬ</v>
      </c>
      <c r="I48" s="87" t="str">
        <f>IF(U38="","Ⅱ－１",U38)</f>
        <v>都南東市</v>
      </c>
      <c r="J48" s="150">
        <v>5</v>
      </c>
      <c r="K48" s="115" t="s">
        <v>55</v>
      </c>
      <c r="L48" s="155">
        <v>0</v>
      </c>
      <c r="M48" s="88" t="str">
        <f>IF(U39="","Ⅱ－２",U39)</f>
        <v>アーヴォリ</v>
      </c>
      <c r="N48" s="111" t="str">
        <f>I47</f>
        <v>あやめ池</v>
      </c>
      <c r="P48" s="507"/>
      <c r="Q48" s="91"/>
      <c r="R48" s="91"/>
    </row>
    <row r="49" spans="1:18" ht="18.75" customHeight="1" thickBot="1">
      <c r="A49" s="82" t="s">
        <v>72</v>
      </c>
      <c r="B49" s="99">
        <v>0.4513888888888889</v>
      </c>
      <c r="C49" s="87" t="str">
        <f>C47</f>
        <v>ｿﾚｽﾃﾚｰｼﾞｬ</v>
      </c>
      <c r="D49" s="150">
        <v>0</v>
      </c>
      <c r="E49" s="115" t="s">
        <v>55</v>
      </c>
      <c r="F49" s="155">
        <v>1</v>
      </c>
      <c r="G49" s="88" t="str">
        <f>IF(U27="","Ⅰ－３",U27)</f>
        <v>大　原</v>
      </c>
      <c r="H49" s="111" t="str">
        <f>G48</f>
        <v>桜　井</v>
      </c>
      <c r="I49" s="87" t="str">
        <f>I47</f>
        <v>あやめ池</v>
      </c>
      <c r="J49" s="150">
        <v>0</v>
      </c>
      <c r="K49" s="115" t="s">
        <v>55</v>
      </c>
      <c r="L49" s="155">
        <v>4</v>
      </c>
      <c r="M49" s="88" t="str">
        <f>IF(U37="","Ⅰ－３",U37)</f>
        <v>水　戸</v>
      </c>
      <c r="N49" s="111" t="str">
        <f>M48</f>
        <v>アーヴォリ</v>
      </c>
      <c r="P49" s="507"/>
      <c r="Q49" s="91"/>
      <c r="R49" s="91"/>
    </row>
    <row r="50" spans="1:18" ht="18.75" customHeight="1" thickBot="1">
      <c r="A50" s="82" t="s">
        <v>73</v>
      </c>
      <c r="B50" s="99">
        <v>0.4791666666666667</v>
      </c>
      <c r="C50" s="87" t="str">
        <f>C48</f>
        <v>六　条</v>
      </c>
      <c r="D50" s="150">
        <v>1</v>
      </c>
      <c r="E50" s="115" t="s">
        <v>55</v>
      </c>
      <c r="F50" s="155">
        <v>4</v>
      </c>
      <c r="G50" s="89" t="str">
        <f>IF(U32="","Ⅱ－３",U32)</f>
        <v>ひじり</v>
      </c>
      <c r="H50" s="112" t="str">
        <f>G49</f>
        <v>大　原</v>
      </c>
      <c r="I50" s="87" t="str">
        <f>I48</f>
        <v>都南東市</v>
      </c>
      <c r="J50" s="150">
        <v>3</v>
      </c>
      <c r="K50" s="115" t="s">
        <v>55</v>
      </c>
      <c r="L50" s="155">
        <v>1</v>
      </c>
      <c r="M50" s="89" t="str">
        <f>IF(U41="","Ⅱ－３",U41)</f>
        <v>USFC</v>
      </c>
      <c r="N50" s="112" t="str">
        <f>M49</f>
        <v>水　戸</v>
      </c>
      <c r="P50" s="507"/>
      <c r="Q50" s="91"/>
      <c r="R50" s="91"/>
    </row>
    <row r="51" spans="1:18" ht="18.75" customHeight="1" thickBot="1">
      <c r="A51" s="82" t="s">
        <v>74</v>
      </c>
      <c r="B51" s="99">
        <v>0.5069444444444444</v>
      </c>
      <c r="C51" s="87" t="str">
        <f>G47</f>
        <v>野　畑</v>
      </c>
      <c r="D51" s="150">
        <v>2</v>
      </c>
      <c r="E51" s="115" t="s">
        <v>55</v>
      </c>
      <c r="F51" s="155">
        <v>1</v>
      </c>
      <c r="G51" s="88" t="str">
        <f>G49</f>
        <v>大　原</v>
      </c>
      <c r="H51" s="111" t="str">
        <f>G50</f>
        <v>ひじり</v>
      </c>
      <c r="I51" s="87" t="str">
        <f>M47</f>
        <v>STELO</v>
      </c>
      <c r="J51" s="158">
        <v>2</v>
      </c>
      <c r="K51" s="115" t="s">
        <v>55</v>
      </c>
      <c r="L51" s="155">
        <v>1</v>
      </c>
      <c r="M51" s="88" t="str">
        <f>M49</f>
        <v>水　戸</v>
      </c>
      <c r="N51" s="111" t="str">
        <f>M50</f>
        <v>USFC</v>
      </c>
      <c r="P51" s="507"/>
      <c r="Q51" s="91"/>
      <c r="R51" s="91"/>
    </row>
    <row r="52" spans="1:14" ht="18.75" customHeight="1" thickBot="1">
      <c r="A52" s="82" t="s">
        <v>75</v>
      </c>
      <c r="B52" s="99">
        <v>0.5347222222222222</v>
      </c>
      <c r="C52" s="90" t="str">
        <f>G48</f>
        <v>桜　井</v>
      </c>
      <c r="D52" s="152">
        <v>0</v>
      </c>
      <c r="E52" s="115" t="s">
        <v>55</v>
      </c>
      <c r="F52" s="155">
        <v>6</v>
      </c>
      <c r="G52" s="89" t="str">
        <f>G50</f>
        <v>ひじり</v>
      </c>
      <c r="H52" s="111" t="str">
        <f>G47</f>
        <v>野　畑</v>
      </c>
      <c r="I52" s="90" t="str">
        <f>M48</f>
        <v>アーヴォリ</v>
      </c>
      <c r="J52" s="150">
        <v>0</v>
      </c>
      <c r="K52" s="115" t="s">
        <v>55</v>
      </c>
      <c r="L52" s="155">
        <v>4</v>
      </c>
      <c r="M52" s="89" t="str">
        <f>M50</f>
        <v>USFC</v>
      </c>
      <c r="N52" s="111" t="str">
        <f>M47</f>
        <v>STELO</v>
      </c>
    </row>
    <row r="53" spans="1:14" ht="11.25" customHeight="1">
      <c r="A53" s="482" t="s">
        <v>76</v>
      </c>
      <c r="B53" s="484">
        <v>0.5833333333333334</v>
      </c>
      <c r="C53" s="476" t="str">
        <f>IF('予選 (3)'!AI27="","Ⅰの３位",'予選 (3)'!AI27)</f>
        <v>ｿﾚｽﾃﾚｰｼﾞｬ</v>
      </c>
      <c r="D53" s="150">
        <v>1</v>
      </c>
      <c r="E53" s="115" t="s">
        <v>55</v>
      </c>
      <c r="F53" s="152">
        <v>1</v>
      </c>
      <c r="G53" s="479" t="str">
        <f>IF('予選 (3)'!AI30="","Ⅱの３位",'予選 (3)'!AI30)</f>
        <v>六　条</v>
      </c>
      <c r="H53" s="472" t="str">
        <f>G57</f>
        <v>ひじり</v>
      </c>
      <c r="I53" s="476" t="str">
        <f>IF('予選 (3)'!AI57="","Ⅰの３位",'予選 (3)'!AI57)</f>
        <v>あやめ池</v>
      </c>
      <c r="J53" s="150">
        <v>1</v>
      </c>
      <c r="K53" s="115" t="s">
        <v>55</v>
      </c>
      <c r="L53" s="152">
        <v>0</v>
      </c>
      <c r="M53" s="479" t="str">
        <f>IF('予選 (3)'!AI60="","Ⅱの３位",'予選 (3)'!AI60)</f>
        <v>アーヴォリ</v>
      </c>
      <c r="N53" s="472" t="str">
        <f>M57</f>
        <v>都南東市</v>
      </c>
    </row>
    <row r="54" spans="1:14" ht="11.25" customHeight="1" thickBot="1">
      <c r="A54" s="483"/>
      <c r="B54" s="485"/>
      <c r="C54" s="477"/>
      <c r="D54" s="150">
        <v>3</v>
      </c>
      <c r="E54" s="128" t="s">
        <v>123</v>
      </c>
      <c r="F54" s="152">
        <v>4</v>
      </c>
      <c r="G54" s="480"/>
      <c r="H54" s="473"/>
      <c r="I54" s="477"/>
      <c r="J54" s="150"/>
      <c r="K54" s="128" t="s">
        <v>123</v>
      </c>
      <c r="L54" s="152"/>
      <c r="M54" s="480"/>
      <c r="N54" s="473"/>
    </row>
    <row r="55" spans="1:14" ht="11.25" customHeight="1">
      <c r="A55" s="482" t="s">
        <v>77</v>
      </c>
      <c r="B55" s="484">
        <v>0.611111111111111</v>
      </c>
      <c r="C55" s="476" t="str">
        <f>IF('予選 (3)'!U27="","Ⅰの２位",'予選 (3)'!U27)</f>
        <v>大　原</v>
      </c>
      <c r="D55" s="150">
        <v>1</v>
      </c>
      <c r="E55" s="128" t="s">
        <v>55</v>
      </c>
      <c r="F55" s="152">
        <v>2</v>
      </c>
      <c r="G55" s="479" t="str">
        <f>IF('予選 (3)'!U30="","Ⅱの２位",'予選 (3)'!U30)</f>
        <v>桜　井</v>
      </c>
      <c r="H55" s="472" t="str">
        <f>C53</f>
        <v>ｿﾚｽﾃﾚｰｼﾞｬ</v>
      </c>
      <c r="I55" s="476" t="str">
        <f>IF('予選 (3)'!U57="","Ⅰの２位",'予選 (3)'!U57)</f>
        <v>水　戸</v>
      </c>
      <c r="J55" s="150">
        <v>3</v>
      </c>
      <c r="K55" s="128" t="s">
        <v>55</v>
      </c>
      <c r="L55" s="152">
        <v>1</v>
      </c>
      <c r="M55" s="479" t="str">
        <f>IF('予選 (3)'!U60="","Ⅱの２位",'予選 (3)'!U60)</f>
        <v>USFC</v>
      </c>
      <c r="N55" s="472" t="str">
        <f>I53</f>
        <v>あやめ池</v>
      </c>
    </row>
    <row r="56" spans="1:14" ht="11.25" customHeight="1" thickBot="1">
      <c r="A56" s="483"/>
      <c r="B56" s="485"/>
      <c r="C56" s="477"/>
      <c r="D56" s="151"/>
      <c r="E56" s="129" t="s">
        <v>123</v>
      </c>
      <c r="F56" s="156"/>
      <c r="G56" s="480"/>
      <c r="H56" s="474"/>
      <c r="I56" s="477"/>
      <c r="J56" s="151"/>
      <c r="K56" s="129" t="s">
        <v>123</v>
      </c>
      <c r="L56" s="156"/>
      <c r="M56" s="480"/>
      <c r="N56" s="474"/>
    </row>
    <row r="57" spans="1:14" ht="11.25" customHeight="1">
      <c r="A57" s="482" t="s">
        <v>78</v>
      </c>
      <c r="B57" s="484">
        <v>0.638888888888889</v>
      </c>
      <c r="C57" s="476" t="str">
        <f>IF('予選 (3)'!G27="","Ⅰの１位",'予選 (3)'!G27)</f>
        <v>野　畑</v>
      </c>
      <c r="D57" s="150">
        <v>1</v>
      </c>
      <c r="E57" s="128" t="s">
        <v>55</v>
      </c>
      <c r="F57" s="155">
        <v>0</v>
      </c>
      <c r="G57" s="479" t="str">
        <f>IF('予選 (3)'!G30="","Ⅱの１位",'予選 (3)'!G30)</f>
        <v>ひじり</v>
      </c>
      <c r="H57" s="472" t="str">
        <f>G55</f>
        <v>桜　井</v>
      </c>
      <c r="I57" s="476" t="str">
        <f>IF('予選 (3)'!G57="","Ⅰの１位",'予選 (3)'!G57)</f>
        <v>STELO</v>
      </c>
      <c r="J57" s="150">
        <v>2</v>
      </c>
      <c r="K57" s="128" t="s">
        <v>55</v>
      </c>
      <c r="L57" s="155">
        <v>0</v>
      </c>
      <c r="M57" s="479" t="str">
        <f>IF('予選 (3)'!G60="","Ⅱの１位",'予選 (3)'!G60)</f>
        <v>都南東市</v>
      </c>
      <c r="N57" s="472" t="str">
        <f>M55</f>
        <v>USFC</v>
      </c>
    </row>
    <row r="58" spans="1:14" ht="11.25" customHeight="1" thickBot="1">
      <c r="A58" s="483"/>
      <c r="B58" s="485"/>
      <c r="C58" s="478"/>
      <c r="D58" s="159"/>
      <c r="E58" s="130" t="s">
        <v>123</v>
      </c>
      <c r="F58" s="157"/>
      <c r="G58" s="481"/>
      <c r="H58" s="475"/>
      <c r="I58" s="478"/>
      <c r="J58" s="159"/>
      <c r="K58" s="130" t="s">
        <v>123</v>
      </c>
      <c r="L58" s="157"/>
      <c r="M58" s="481"/>
      <c r="N58" s="475"/>
    </row>
  </sheetData>
  <sheetProtection formatCells="0" selectLockedCells="1"/>
  <mergeCells count="151">
    <mergeCell ref="A1:N1"/>
    <mergeCell ref="A3:G3"/>
    <mergeCell ref="H3:N3"/>
    <mergeCell ref="A25:A26"/>
    <mergeCell ref="N25:N26"/>
    <mergeCell ref="C15:C16"/>
    <mergeCell ref="A11:A12"/>
    <mergeCell ref="A13:A14"/>
    <mergeCell ref="A15:A16"/>
    <mergeCell ref="B11:B12"/>
    <mergeCell ref="B13:B14"/>
    <mergeCell ref="B15:B16"/>
    <mergeCell ref="C13:C14"/>
    <mergeCell ref="T5:T7"/>
    <mergeCell ref="T8:T10"/>
    <mergeCell ref="T15:T18"/>
    <mergeCell ref="M11:M12"/>
    <mergeCell ref="M13:M14"/>
    <mergeCell ref="M15:M16"/>
    <mergeCell ref="I15:I16"/>
    <mergeCell ref="T19:T21"/>
    <mergeCell ref="R15:R21"/>
    <mergeCell ref="G11:G12"/>
    <mergeCell ref="G13:G14"/>
    <mergeCell ref="G15:G16"/>
    <mergeCell ref="R5:R10"/>
    <mergeCell ref="N11:N12"/>
    <mergeCell ref="N13:N14"/>
    <mergeCell ref="N15:N16"/>
    <mergeCell ref="J18:M18"/>
    <mergeCell ref="D46:G46"/>
    <mergeCell ref="J46:M46"/>
    <mergeCell ref="D4:G4"/>
    <mergeCell ref="J4:M4"/>
    <mergeCell ref="D18:G18"/>
    <mergeCell ref="D32:G32"/>
    <mergeCell ref="I25:I26"/>
    <mergeCell ref="M25:M26"/>
    <mergeCell ref="M27:M28"/>
    <mergeCell ref="G41:G42"/>
    <mergeCell ref="G43:G44"/>
    <mergeCell ref="H39:H40"/>
    <mergeCell ref="H41:H42"/>
    <mergeCell ref="H43:H44"/>
    <mergeCell ref="H11:H12"/>
    <mergeCell ref="H13:H14"/>
    <mergeCell ref="H15:H16"/>
    <mergeCell ref="G29:G30"/>
    <mergeCell ref="H29:H30"/>
    <mergeCell ref="P49:P51"/>
    <mergeCell ref="P5:P7"/>
    <mergeCell ref="P8:P10"/>
    <mergeCell ref="P15:P18"/>
    <mergeCell ref="P19:P21"/>
    <mergeCell ref="P29:P32"/>
    <mergeCell ref="P35:P37"/>
    <mergeCell ref="P38:P42"/>
    <mergeCell ref="P46:P48"/>
    <mergeCell ref="P13:P14"/>
    <mergeCell ref="V5:V10"/>
    <mergeCell ref="V15:V21"/>
    <mergeCell ref="V24:V32"/>
    <mergeCell ref="V35:V42"/>
    <mergeCell ref="U13:U14"/>
    <mergeCell ref="V13:V14"/>
    <mergeCell ref="U15:U16"/>
    <mergeCell ref="U25:U26"/>
    <mergeCell ref="U27:U28"/>
    <mergeCell ref="U29:U30"/>
    <mergeCell ref="T38:T42"/>
    <mergeCell ref="Q13:Q14"/>
    <mergeCell ref="R13:R14"/>
    <mergeCell ref="Q15:Q16"/>
    <mergeCell ref="T13:T14"/>
    <mergeCell ref="Q39:Q40"/>
    <mergeCell ref="R24:R32"/>
    <mergeCell ref="Q25:Q26"/>
    <mergeCell ref="Q41:Q42"/>
    <mergeCell ref="T35:T37"/>
    <mergeCell ref="J32:M32"/>
    <mergeCell ref="T29:T32"/>
    <mergeCell ref="T24:T28"/>
    <mergeCell ref="A29:A30"/>
    <mergeCell ref="B29:B30"/>
    <mergeCell ref="C29:C30"/>
    <mergeCell ref="I29:I30"/>
    <mergeCell ref="Q27:Q28"/>
    <mergeCell ref="I13:I14"/>
    <mergeCell ref="I11:I12"/>
    <mergeCell ref="C11:C12"/>
    <mergeCell ref="A27:A28"/>
    <mergeCell ref="B27:B28"/>
    <mergeCell ref="C27:C28"/>
    <mergeCell ref="G27:G28"/>
    <mergeCell ref="H27:H28"/>
    <mergeCell ref="I27:I28"/>
    <mergeCell ref="B25:B26"/>
    <mergeCell ref="C39:C40"/>
    <mergeCell ref="Q29:Q30"/>
    <mergeCell ref="P24:P28"/>
    <mergeCell ref="M29:M30"/>
    <mergeCell ref="N29:N30"/>
    <mergeCell ref="G39:G40"/>
    <mergeCell ref="C25:C26"/>
    <mergeCell ref="G25:G26"/>
    <mergeCell ref="H25:H26"/>
    <mergeCell ref="N27:N28"/>
    <mergeCell ref="A39:A40"/>
    <mergeCell ref="A41:A42"/>
    <mergeCell ref="A43:A44"/>
    <mergeCell ref="B39:B40"/>
    <mergeCell ref="B41:B42"/>
    <mergeCell ref="B43:B44"/>
    <mergeCell ref="C41:C42"/>
    <mergeCell ref="C43:C44"/>
    <mergeCell ref="M53:M54"/>
    <mergeCell ref="M55:M56"/>
    <mergeCell ref="M57:M58"/>
    <mergeCell ref="I39:I40"/>
    <mergeCell ref="I41:I42"/>
    <mergeCell ref="I43:I44"/>
    <mergeCell ref="M39:M40"/>
    <mergeCell ref="M41:M42"/>
    <mergeCell ref="M43:M44"/>
    <mergeCell ref="N53:N54"/>
    <mergeCell ref="N55:N56"/>
    <mergeCell ref="N57:N58"/>
    <mergeCell ref="U39:U40"/>
    <mergeCell ref="U41:U42"/>
    <mergeCell ref="R35:R42"/>
    <mergeCell ref="N39:N40"/>
    <mergeCell ref="N41:N42"/>
    <mergeCell ref="N43:N44"/>
    <mergeCell ref="A53:A54"/>
    <mergeCell ref="A55:A56"/>
    <mergeCell ref="A57:A58"/>
    <mergeCell ref="B53:B54"/>
    <mergeCell ref="B55:B56"/>
    <mergeCell ref="B57:B58"/>
    <mergeCell ref="C53:C54"/>
    <mergeCell ref="C55:C56"/>
    <mergeCell ref="C57:C58"/>
    <mergeCell ref="G53:G54"/>
    <mergeCell ref="G55:G56"/>
    <mergeCell ref="G57:G58"/>
    <mergeCell ref="H53:H54"/>
    <mergeCell ref="H55:H56"/>
    <mergeCell ref="H57:H58"/>
    <mergeCell ref="I53:I54"/>
    <mergeCell ref="I55:I56"/>
    <mergeCell ref="I57:I58"/>
  </mergeCells>
  <printOptions/>
  <pageMargins left="0.6692913385826772" right="0.6299212598425197" top="0.3937007874015748" bottom="0.3937007874015748" header="0.31496062992125984" footer="0.31496062992125984"/>
  <pageSetup firstPageNumber="5" useFirstPageNumber="1" horizontalDpi="300" verticalDpi="300" orientation="portrait" paperSize="9" scale="92" r:id="rId1"/>
  <headerFooter alignWithMargins="0">
    <oddFooter>&amp;C&amp;[７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64"/>
  <sheetViews>
    <sheetView zoomScaleSheetLayoutView="91" zoomScalePageLayoutView="0" workbookViewId="0" topLeftCell="A25">
      <selection activeCell="I37" sqref="I37:V39"/>
    </sheetView>
  </sheetViews>
  <sheetFormatPr defaultColWidth="2.75390625" defaultRowHeight="12" customHeight="1"/>
  <cols>
    <col min="1" max="11" width="2.75390625" style="165" customWidth="1"/>
    <col min="12" max="16384" width="2.75390625" style="165" customWidth="1"/>
  </cols>
  <sheetData>
    <row r="1" spans="1:30" ht="18" customHeight="1">
      <c r="A1" s="163" t="s">
        <v>191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  <c r="P1" s="164"/>
      <c r="Q1" s="529" t="s">
        <v>192</v>
      </c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</row>
    <row r="2" ht="18" customHeight="1" thickBot="1"/>
    <row r="3" spans="1:22" ht="13.5" customHeight="1">
      <c r="A3" s="532" t="s">
        <v>1</v>
      </c>
      <c r="B3" s="532"/>
      <c r="C3" s="532"/>
      <c r="D3" s="532"/>
      <c r="E3" s="532"/>
      <c r="F3" s="532"/>
      <c r="G3" s="532"/>
      <c r="I3" s="626" t="s">
        <v>278</v>
      </c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8"/>
    </row>
    <row r="4" spans="1:22" ht="13.5" customHeight="1">
      <c r="A4" s="532" t="s">
        <v>143</v>
      </c>
      <c r="B4" s="532"/>
      <c r="C4" s="532"/>
      <c r="D4" s="532"/>
      <c r="E4" s="532"/>
      <c r="F4" s="532"/>
      <c r="G4" s="532"/>
      <c r="I4" s="629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1"/>
    </row>
    <row r="5" spans="9:22" ht="12" customHeight="1" thickBot="1">
      <c r="I5" s="632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4"/>
    </row>
    <row r="6" spans="5:19" ht="12" customHeight="1">
      <c r="E6" s="167"/>
      <c r="F6" s="167"/>
      <c r="G6" s="167"/>
      <c r="H6" s="167"/>
      <c r="P6" s="601"/>
      <c r="Q6" s="168"/>
      <c r="R6" s="168"/>
      <c r="S6" s="168"/>
    </row>
    <row r="7" spans="5:23" ht="12" customHeight="1" thickBot="1">
      <c r="E7" s="167"/>
      <c r="F7" s="167"/>
      <c r="G7" s="167"/>
      <c r="H7" s="621">
        <v>1</v>
      </c>
      <c r="I7" s="167"/>
      <c r="J7" s="167"/>
      <c r="K7" s="167"/>
      <c r="L7" s="167"/>
      <c r="P7" s="602"/>
      <c r="Q7" s="603"/>
      <c r="R7" s="603"/>
      <c r="S7" s="603"/>
      <c r="W7" s="622">
        <v>3</v>
      </c>
    </row>
    <row r="8" spans="4:29" ht="14.25" customHeight="1" thickTop="1">
      <c r="D8" s="167"/>
      <c r="E8" s="167"/>
      <c r="F8" s="167"/>
      <c r="G8" s="607"/>
      <c r="H8" s="168"/>
      <c r="I8" s="168"/>
      <c r="J8" s="168"/>
      <c r="K8" s="168"/>
      <c r="L8" s="168"/>
      <c r="M8" s="168"/>
      <c r="N8" s="527" t="s">
        <v>140</v>
      </c>
      <c r="O8" s="527"/>
      <c r="P8" s="529"/>
      <c r="Q8" s="529"/>
      <c r="R8" s="167"/>
      <c r="S8" s="167"/>
      <c r="T8" s="610"/>
      <c r="U8" s="610"/>
      <c r="V8" s="610"/>
      <c r="W8" s="611"/>
      <c r="AC8" s="167"/>
    </row>
    <row r="9" spans="4:23" ht="9" customHeight="1">
      <c r="D9" s="167"/>
      <c r="E9" s="167"/>
      <c r="F9" s="167"/>
      <c r="G9" s="607"/>
      <c r="H9" s="638"/>
      <c r="I9" s="639"/>
      <c r="J9" s="639"/>
      <c r="K9" s="639"/>
      <c r="L9" s="639"/>
      <c r="M9" s="639"/>
      <c r="N9" s="639"/>
      <c r="O9" s="639"/>
      <c r="P9" s="167"/>
      <c r="Q9" s="167"/>
      <c r="R9" s="167"/>
      <c r="S9" s="167"/>
      <c r="T9" s="167"/>
      <c r="U9" s="167"/>
      <c r="V9" s="167"/>
      <c r="W9" s="607"/>
    </row>
    <row r="10" spans="4:27" ht="16.5" customHeight="1" thickBot="1">
      <c r="D10" s="618">
        <v>2</v>
      </c>
      <c r="E10" s="603"/>
      <c r="F10" s="603"/>
      <c r="G10" s="609"/>
      <c r="H10" s="171"/>
      <c r="I10" s="171"/>
      <c r="J10" s="171"/>
      <c r="K10" s="615">
        <v>0</v>
      </c>
      <c r="L10" s="167"/>
      <c r="M10" s="167"/>
      <c r="N10" s="529" t="s">
        <v>139</v>
      </c>
      <c r="O10" s="529"/>
      <c r="P10" s="548"/>
      <c r="Q10" s="548"/>
      <c r="R10" s="235"/>
      <c r="S10" s="235"/>
      <c r="T10" s="623">
        <v>2</v>
      </c>
      <c r="U10" s="612"/>
      <c r="V10" s="612"/>
      <c r="W10" s="613"/>
      <c r="AA10" s="622">
        <v>0</v>
      </c>
    </row>
    <row r="11" spans="4:27" ht="14.25" customHeight="1" thickTop="1">
      <c r="D11" s="599"/>
      <c r="E11" s="167"/>
      <c r="F11" s="529" t="s">
        <v>135</v>
      </c>
      <c r="G11" s="529"/>
      <c r="H11" s="527"/>
      <c r="I11" s="527"/>
      <c r="J11" s="167"/>
      <c r="K11" s="167"/>
      <c r="L11" s="599"/>
      <c r="M11" s="167"/>
      <c r="N11" s="624" t="s">
        <v>276</v>
      </c>
      <c r="O11" s="624"/>
      <c r="P11" s="624"/>
      <c r="Q11" s="624"/>
      <c r="R11" s="167"/>
      <c r="S11" s="607"/>
      <c r="T11" s="167"/>
      <c r="U11" s="167"/>
      <c r="V11" s="529" t="s">
        <v>137</v>
      </c>
      <c r="W11" s="529"/>
      <c r="X11" s="527"/>
      <c r="Y11" s="527"/>
      <c r="Z11" s="168"/>
      <c r="AA11" s="614"/>
    </row>
    <row r="12" spans="2:27" ht="12" customHeight="1">
      <c r="B12" s="167"/>
      <c r="C12" s="167"/>
      <c r="D12" s="599"/>
      <c r="E12" s="167"/>
      <c r="F12" s="167"/>
      <c r="G12" s="167"/>
      <c r="H12" s="167"/>
      <c r="I12" s="167"/>
      <c r="J12" s="167"/>
      <c r="K12" s="167"/>
      <c r="L12" s="599"/>
      <c r="M12" s="167"/>
      <c r="N12" s="625" t="s">
        <v>277</v>
      </c>
      <c r="O12" s="625"/>
      <c r="P12" s="625"/>
      <c r="Q12" s="625"/>
      <c r="R12" s="167"/>
      <c r="S12" s="607"/>
      <c r="T12" s="167"/>
      <c r="U12" s="167"/>
      <c r="V12" s="167"/>
      <c r="W12" s="167"/>
      <c r="X12" s="167"/>
      <c r="Y12" s="167"/>
      <c r="Z12" s="167"/>
      <c r="AA12" s="607"/>
    </row>
    <row r="13" spans="2:30" ht="12" customHeight="1" thickBot="1">
      <c r="B13" s="615">
        <v>0</v>
      </c>
      <c r="C13" s="616"/>
      <c r="D13" s="617"/>
      <c r="E13" s="618">
        <v>1</v>
      </c>
      <c r="F13" s="167"/>
      <c r="G13" s="167"/>
      <c r="H13" s="167"/>
      <c r="I13" s="167"/>
      <c r="J13" s="615">
        <v>0</v>
      </c>
      <c r="K13" s="231"/>
      <c r="L13" s="619"/>
      <c r="M13" s="618">
        <v>1</v>
      </c>
      <c r="O13" s="167"/>
      <c r="P13" s="167"/>
      <c r="R13" s="618">
        <v>2</v>
      </c>
      <c r="S13" s="609"/>
      <c r="T13" s="167"/>
      <c r="U13" s="621">
        <v>1</v>
      </c>
      <c r="V13" s="167"/>
      <c r="W13" s="167"/>
      <c r="X13" s="167"/>
      <c r="Y13" s="167"/>
      <c r="Z13" s="618">
        <v>3</v>
      </c>
      <c r="AA13" s="609"/>
      <c r="AC13" s="622">
        <v>0</v>
      </c>
      <c r="AD13" s="167"/>
    </row>
    <row r="14" spans="2:29" ht="12" customHeight="1">
      <c r="B14" s="515" t="s">
        <v>132</v>
      </c>
      <c r="C14" s="527"/>
      <c r="D14" s="528"/>
      <c r="E14" s="529"/>
      <c r="F14" s="599"/>
      <c r="I14" s="169"/>
      <c r="J14" s="527" t="s">
        <v>131</v>
      </c>
      <c r="K14" s="527"/>
      <c r="L14" s="529"/>
      <c r="M14" s="529"/>
      <c r="N14" s="599"/>
      <c r="O14" s="167"/>
      <c r="P14" s="167"/>
      <c r="Q14" s="607"/>
      <c r="R14" s="529" t="s">
        <v>133</v>
      </c>
      <c r="S14" s="529"/>
      <c r="T14" s="527"/>
      <c r="U14" s="516"/>
      <c r="Y14" s="607"/>
      <c r="Z14" s="529" t="s">
        <v>134</v>
      </c>
      <c r="AA14" s="529"/>
      <c r="AB14" s="527"/>
      <c r="AC14" s="516"/>
    </row>
    <row r="15" spans="2:29" ht="12" customHeight="1">
      <c r="B15" s="166"/>
      <c r="C15" s="167"/>
      <c r="D15" s="167"/>
      <c r="E15" s="167"/>
      <c r="F15" s="599"/>
      <c r="I15" s="169"/>
      <c r="J15" s="167"/>
      <c r="K15" s="167"/>
      <c r="L15" s="167"/>
      <c r="M15" s="167"/>
      <c r="N15" s="599"/>
      <c r="O15" s="167"/>
      <c r="P15" s="167"/>
      <c r="Q15" s="607"/>
      <c r="R15" s="167"/>
      <c r="S15" s="167"/>
      <c r="T15" s="167"/>
      <c r="U15" s="169"/>
      <c r="Y15" s="607"/>
      <c r="Z15" s="167"/>
      <c r="AA15" s="167"/>
      <c r="AB15" s="167"/>
      <c r="AC15" s="169"/>
    </row>
    <row r="16" spans="2:29" ht="12" customHeight="1">
      <c r="B16" s="166"/>
      <c r="C16" s="167"/>
      <c r="D16" s="167"/>
      <c r="E16" s="167"/>
      <c r="F16" s="599"/>
      <c r="I16" s="217"/>
      <c r="J16" s="166"/>
      <c r="K16" s="167"/>
      <c r="L16" s="167"/>
      <c r="M16" s="167"/>
      <c r="N16" s="599"/>
      <c r="Q16" s="607"/>
      <c r="R16" s="167"/>
      <c r="S16" s="167"/>
      <c r="T16" s="167"/>
      <c r="U16" s="169"/>
      <c r="Y16" s="607"/>
      <c r="Z16" s="167"/>
      <c r="AA16" s="167"/>
      <c r="AB16" s="167"/>
      <c r="AC16" s="169"/>
    </row>
    <row r="17" spans="2:29" ht="12" customHeight="1" thickBot="1">
      <c r="B17" s="170"/>
      <c r="C17" s="167"/>
      <c r="D17" s="167"/>
      <c r="E17" s="171"/>
      <c r="F17" s="600"/>
      <c r="J17" s="170"/>
      <c r="K17" s="167"/>
      <c r="L17" s="167"/>
      <c r="M17" s="171"/>
      <c r="N17" s="600"/>
      <c r="Q17" s="608"/>
      <c r="R17" s="171"/>
      <c r="S17" s="167"/>
      <c r="T17" s="167"/>
      <c r="U17" s="172"/>
      <c r="Y17" s="608"/>
      <c r="Z17" s="171"/>
      <c r="AA17" s="167"/>
      <c r="AB17" s="167"/>
      <c r="AC17" s="172"/>
    </row>
    <row r="18" spans="1:30" ht="12" customHeight="1">
      <c r="A18" s="515" t="s">
        <v>8</v>
      </c>
      <c r="B18" s="530"/>
      <c r="E18" s="515" t="s">
        <v>9</v>
      </c>
      <c r="F18" s="516"/>
      <c r="I18" s="515" t="s">
        <v>10</v>
      </c>
      <c r="J18" s="516"/>
      <c r="M18" s="528" t="s">
        <v>11</v>
      </c>
      <c r="N18" s="516"/>
      <c r="Q18" s="515" t="s">
        <v>12</v>
      </c>
      <c r="R18" s="516"/>
      <c r="U18" s="515" t="s">
        <v>13</v>
      </c>
      <c r="V18" s="516"/>
      <c r="Y18" s="515" t="s">
        <v>5</v>
      </c>
      <c r="Z18" s="516"/>
      <c r="AC18" s="515" t="s">
        <v>6</v>
      </c>
      <c r="AD18" s="516"/>
    </row>
    <row r="19" spans="1:30" ht="12" customHeight="1">
      <c r="A19" s="519" t="str">
        <f>'予選 (3)'!H71</f>
        <v>奈良YMCA</v>
      </c>
      <c r="B19" s="520"/>
      <c r="C19" s="135"/>
      <c r="D19" s="135"/>
      <c r="E19" s="536" t="s">
        <v>275</v>
      </c>
      <c r="F19" s="537"/>
      <c r="G19" s="135"/>
      <c r="H19" s="135"/>
      <c r="I19" s="519" t="str">
        <f>'予選 (3)'!H75</f>
        <v>泉</v>
      </c>
      <c r="J19" s="520"/>
      <c r="K19" s="135"/>
      <c r="L19" s="135"/>
      <c r="M19" s="519" t="str">
        <f>'予選 (3)'!H77</f>
        <v>高石中央</v>
      </c>
      <c r="N19" s="520"/>
      <c r="O19" s="135"/>
      <c r="P19" s="135"/>
      <c r="Q19" s="519" t="str">
        <f>'予選 (3)'!H79</f>
        <v>柏　田</v>
      </c>
      <c r="R19" s="520"/>
      <c r="S19" s="135"/>
      <c r="T19" s="135"/>
      <c r="U19" s="523" t="str">
        <f>'予選 (3)'!H81</f>
        <v>Del Sole Shiki</v>
      </c>
      <c r="V19" s="524"/>
      <c r="W19" s="135"/>
      <c r="X19" s="135"/>
      <c r="Y19" s="519" t="str">
        <f>'予選 (3)'!H83</f>
        <v>野　畑</v>
      </c>
      <c r="Z19" s="520"/>
      <c r="AA19" s="135"/>
      <c r="AB19" s="135"/>
      <c r="AC19" s="519" t="str">
        <f>'予選 (3)'!H85</f>
        <v>STELO</v>
      </c>
      <c r="AD19" s="520"/>
    </row>
    <row r="20" spans="1:30" ht="12" customHeight="1">
      <c r="A20" s="519"/>
      <c r="B20" s="520"/>
      <c r="C20" s="135"/>
      <c r="D20" s="135"/>
      <c r="E20" s="536"/>
      <c r="F20" s="537"/>
      <c r="G20" s="135"/>
      <c r="H20" s="135"/>
      <c r="I20" s="519"/>
      <c r="J20" s="520"/>
      <c r="K20" s="135"/>
      <c r="L20" s="135"/>
      <c r="M20" s="519"/>
      <c r="N20" s="520"/>
      <c r="O20" s="135"/>
      <c r="P20" s="135"/>
      <c r="Q20" s="519"/>
      <c r="R20" s="520"/>
      <c r="S20" s="135"/>
      <c r="T20" s="135"/>
      <c r="U20" s="523"/>
      <c r="V20" s="524"/>
      <c r="W20" s="135"/>
      <c r="X20" s="135"/>
      <c r="Y20" s="519"/>
      <c r="Z20" s="520"/>
      <c r="AA20" s="135"/>
      <c r="AB20" s="135"/>
      <c r="AC20" s="519"/>
      <c r="AD20" s="520"/>
    </row>
    <row r="21" spans="1:30" ht="12" customHeight="1">
      <c r="A21" s="519"/>
      <c r="B21" s="520"/>
      <c r="C21" s="136"/>
      <c r="D21" s="136"/>
      <c r="E21" s="536"/>
      <c r="F21" s="537"/>
      <c r="G21" s="135"/>
      <c r="H21" s="136"/>
      <c r="I21" s="519"/>
      <c r="J21" s="520"/>
      <c r="K21" s="136"/>
      <c r="L21" s="136"/>
      <c r="M21" s="519"/>
      <c r="N21" s="520"/>
      <c r="O21" s="135"/>
      <c r="P21" s="135"/>
      <c r="Q21" s="519"/>
      <c r="R21" s="520"/>
      <c r="S21" s="135"/>
      <c r="T21" s="136"/>
      <c r="U21" s="523"/>
      <c r="V21" s="524"/>
      <c r="W21" s="136"/>
      <c r="X21" s="135"/>
      <c r="Y21" s="519"/>
      <c r="Z21" s="520"/>
      <c r="AA21" s="135"/>
      <c r="AB21" s="136"/>
      <c r="AC21" s="519"/>
      <c r="AD21" s="520"/>
    </row>
    <row r="22" spans="1:30" ht="12" customHeight="1">
      <c r="A22" s="519"/>
      <c r="B22" s="520"/>
      <c r="C22" s="136"/>
      <c r="D22" s="136"/>
      <c r="E22" s="536"/>
      <c r="F22" s="537"/>
      <c r="G22" s="135"/>
      <c r="H22" s="136"/>
      <c r="I22" s="519"/>
      <c r="J22" s="520"/>
      <c r="K22" s="136"/>
      <c r="L22" s="136"/>
      <c r="M22" s="519"/>
      <c r="N22" s="520"/>
      <c r="O22" s="135"/>
      <c r="P22" s="135"/>
      <c r="Q22" s="519"/>
      <c r="R22" s="520"/>
      <c r="S22" s="135"/>
      <c r="T22" s="136"/>
      <c r="U22" s="523"/>
      <c r="V22" s="524"/>
      <c r="W22" s="136"/>
      <c r="X22" s="135"/>
      <c r="Y22" s="519"/>
      <c r="Z22" s="520"/>
      <c r="AA22" s="135"/>
      <c r="AB22" s="136"/>
      <c r="AC22" s="519"/>
      <c r="AD22" s="520"/>
    </row>
    <row r="23" spans="1:30" ht="12" customHeight="1">
      <c r="A23" s="519"/>
      <c r="B23" s="520"/>
      <c r="C23" s="136"/>
      <c r="D23" s="136"/>
      <c r="E23" s="536"/>
      <c r="F23" s="537"/>
      <c r="G23" s="135"/>
      <c r="H23" s="136"/>
      <c r="I23" s="519"/>
      <c r="J23" s="520"/>
      <c r="K23" s="136"/>
      <c r="L23" s="136"/>
      <c r="M23" s="519"/>
      <c r="N23" s="520"/>
      <c r="O23" s="135"/>
      <c r="P23" s="135"/>
      <c r="Q23" s="519"/>
      <c r="R23" s="520"/>
      <c r="S23" s="135"/>
      <c r="T23" s="136"/>
      <c r="U23" s="523"/>
      <c r="V23" s="524"/>
      <c r="W23" s="136"/>
      <c r="X23" s="135"/>
      <c r="Y23" s="519"/>
      <c r="Z23" s="520"/>
      <c r="AA23" s="135"/>
      <c r="AB23" s="136"/>
      <c r="AC23" s="519"/>
      <c r="AD23" s="520"/>
    </row>
    <row r="24" spans="1:30" ht="12" customHeight="1" thickBot="1">
      <c r="A24" s="521"/>
      <c r="B24" s="522"/>
      <c r="C24" s="136"/>
      <c r="D24" s="136"/>
      <c r="E24" s="538"/>
      <c r="F24" s="539"/>
      <c r="G24" s="135"/>
      <c r="H24" s="136"/>
      <c r="I24" s="521"/>
      <c r="J24" s="522"/>
      <c r="K24" s="136"/>
      <c r="L24" s="136"/>
      <c r="M24" s="521"/>
      <c r="N24" s="522"/>
      <c r="O24" s="135"/>
      <c r="P24" s="135"/>
      <c r="Q24" s="521"/>
      <c r="R24" s="522"/>
      <c r="S24" s="135"/>
      <c r="T24" s="136"/>
      <c r="U24" s="525"/>
      <c r="V24" s="526"/>
      <c r="W24" s="136"/>
      <c r="X24" s="135"/>
      <c r="Y24" s="521"/>
      <c r="Z24" s="522"/>
      <c r="AA24" s="135"/>
      <c r="AB24" s="136"/>
      <c r="AC24" s="521"/>
      <c r="AD24" s="522"/>
    </row>
    <row r="25" spans="3:30" ht="12" customHeight="1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2:30" ht="12" customHeight="1">
      <c r="B26" s="167"/>
      <c r="C26" s="167"/>
      <c r="D26" s="605"/>
      <c r="E26" s="167"/>
      <c r="F26" s="167"/>
      <c r="G26" s="167"/>
      <c r="H26" s="167"/>
      <c r="I26" s="167"/>
      <c r="J26" s="167"/>
      <c r="K26" s="174"/>
      <c r="L26" s="167"/>
      <c r="M26" s="167"/>
      <c r="N26" s="167"/>
      <c r="O26" s="167"/>
      <c r="P26" s="167"/>
      <c r="Q26" s="167"/>
      <c r="R26" s="167"/>
      <c r="S26" s="167"/>
      <c r="T26" s="173"/>
      <c r="U26" s="167"/>
      <c r="V26" s="167"/>
      <c r="W26" s="167"/>
      <c r="X26" s="167"/>
      <c r="Y26" s="167"/>
      <c r="Z26" s="167"/>
      <c r="AA26" s="167"/>
      <c r="AB26" s="605"/>
      <c r="AC26" s="167"/>
      <c r="AD26" s="167"/>
    </row>
    <row r="27" spans="2:30" ht="12" customHeight="1">
      <c r="B27" s="167"/>
      <c r="C27" s="167"/>
      <c r="D27" s="605"/>
      <c r="E27" s="167"/>
      <c r="F27" s="167"/>
      <c r="G27" s="167"/>
      <c r="H27" s="167"/>
      <c r="I27" s="167"/>
      <c r="J27" s="167"/>
      <c r="K27" s="174"/>
      <c r="L27" s="167"/>
      <c r="M27" s="167"/>
      <c r="N27" s="167"/>
      <c r="O27" s="167"/>
      <c r="P27" s="167"/>
      <c r="Q27" s="167"/>
      <c r="R27" s="167"/>
      <c r="S27" s="167"/>
      <c r="T27" s="173"/>
      <c r="U27" s="167"/>
      <c r="V27" s="167"/>
      <c r="W27" s="167"/>
      <c r="X27" s="167"/>
      <c r="Y27" s="167"/>
      <c r="Z27" s="167"/>
      <c r="AA27" s="167"/>
      <c r="AB27" s="605"/>
      <c r="AC27" s="167"/>
      <c r="AD27" s="167"/>
    </row>
    <row r="28" spans="2:30" ht="12" customHeight="1" thickBot="1">
      <c r="B28" s="167"/>
      <c r="C28" s="167"/>
      <c r="D28" s="606"/>
      <c r="E28" s="167"/>
      <c r="F28" s="529" t="s">
        <v>136</v>
      </c>
      <c r="G28" s="529"/>
      <c r="H28" s="534"/>
      <c r="I28" s="535"/>
      <c r="J28" s="176"/>
      <c r="K28" s="177"/>
      <c r="L28" s="167"/>
      <c r="M28" s="167"/>
      <c r="N28" s="167"/>
      <c r="O28" s="167"/>
      <c r="P28" s="167"/>
      <c r="Q28" s="167"/>
      <c r="R28" s="167"/>
      <c r="S28" s="167"/>
      <c r="T28" s="175"/>
      <c r="U28" s="176"/>
      <c r="V28" s="531" t="s">
        <v>138</v>
      </c>
      <c r="W28" s="531"/>
      <c r="X28" s="529"/>
      <c r="Y28" s="529"/>
      <c r="Z28" s="167"/>
      <c r="AA28" s="167"/>
      <c r="AB28" s="605"/>
      <c r="AC28" s="167"/>
      <c r="AD28" s="167"/>
    </row>
    <row r="29" spans="2:28" ht="12" customHeight="1">
      <c r="B29" s="167"/>
      <c r="C29" s="167"/>
      <c r="D29" s="620">
        <v>1</v>
      </c>
      <c r="E29" s="604"/>
      <c r="F29" s="604"/>
      <c r="G29" s="604"/>
      <c r="H29" s="167"/>
      <c r="I29" s="167"/>
      <c r="J29" s="167"/>
      <c r="K29" s="621">
        <v>0</v>
      </c>
      <c r="L29" s="167"/>
      <c r="M29" s="167"/>
      <c r="N29" s="167"/>
      <c r="P29" s="167"/>
      <c r="Q29" s="167"/>
      <c r="R29" s="167"/>
      <c r="S29" s="167"/>
      <c r="T29" s="621">
        <v>1</v>
      </c>
      <c r="U29" s="167"/>
      <c r="V29" s="167"/>
      <c r="W29" s="167"/>
      <c r="X29" s="604"/>
      <c r="Y29" s="604"/>
      <c r="Z29" s="604"/>
      <c r="AA29" s="620">
        <v>4</v>
      </c>
      <c r="AB29" s="167"/>
    </row>
    <row r="30" spans="2:28" ht="12" customHeight="1">
      <c r="B30" s="167"/>
      <c r="C30" s="167"/>
      <c r="D30" s="167"/>
      <c r="E30" s="16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2:28" ht="12" customHeight="1">
      <c r="B31" s="167"/>
      <c r="C31" s="167"/>
      <c r="D31" s="167"/>
      <c r="E31" s="16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2:28" ht="12" customHeigh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31" ht="18" customHeight="1">
      <c r="A33" s="541" t="s">
        <v>141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3"/>
      <c r="O33" s="543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4"/>
    </row>
    <row r="34" spans="1:31" ht="18" customHeight="1">
      <c r="A34" s="545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6"/>
      <c r="AC34" s="546"/>
      <c r="AD34" s="546"/>
      <c r="AE34" s="547"/>
    </row>
    <row r="35" spans="2:28" ht="18" customHeigh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ht="17.25" customHeight="1" thickBot="1"/>
    <row r="37" spans="1:22" ht="13.5" customHeight="1">
      <c r="A37" s="532" t="s">
        <v>2</v>
      </c>
      <c r="B37" s="532"/>
      <c r="C37" s="532"/>
      <c r="D37" s="532"/>
      <c r="E37" s="532"/>
      <c r="F37" s="532"/>
      <c r="G37" s="532"/>
      <c r="I37" s="626" t="s">
        <v>281</v>
      </c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  <c r="U37" s="627"/>
      <c r="V37" s="628"/>
    </row>
    <row r="38" spans="1:22" ht="13.5" customHeight="1">
      <c r="A38" s="532" t="s">
        <v>142</v>
      </c>
      <c r="B38" s="532"/>
      <c r="C38" s="532"/>
      <c r="D38" s="532"/>
      <c r="E38" s="532"/>
      <c r="F38" s="532"/>
      <c r="G38" s="532"/>
      <c r="I38" s="629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1"/>
    </row>
    <row r="39" spans="9:22" ht="12" customHeight="1" thickBot="1">
      <c r="I39" s="632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4"/>
    </row>
    <row r="40" spans="16:17" ht="12" customHeight="1">
      <c r="P40" s="166"/>
      <c r="Q40" s="167"/>
    </row>
    <row r="41" spans="8:23" ht="12" customHeight="1" thickBot="1">
      <c r="H41" s="622">
        <v>0</v>
      </c>
      <c r="P41" s="166"/>
      <c r="Q41" s="167"/>
      <c r="W41" s="622">
        <v>2</v>
      </c>
    </row>
    <row r="42" spans="8:29" ht="12" customHeight="1">
      <c r="H42" s="601"/>
      <c r="I42" s="168"/>
      <c r="J42" s="168"/>
      <c r="K42" s="168"/>
      <c r="L42" s="168"/>
      <c r="M42" s="168"/>
      <c r="N42" s="527" t="s">
        <v>140</v>
      </c>
      <c r="O42" s="527"/>
      <c r="P42" s="527"/>
      <c r="Q42" s="527"/>
      <c r="R42" s="168"/>
      <c r="S42" s="168"/>
      <c r="T42" s="168"/>
      <c r="U42" s="168"/>
      <c r="V42" s="168"/>
      <c r="W42" s="168"/>
      <c r="X42" s="599"/>
      <c r="Y42" s="167"/>
      <c r="Z42" s="167"/>
      <c r="AA42" s="167"/>
      <c r="AC42" s="167"/>
    </row>
    <row r="43" spans="8:27" ht="12" customHeight="1">
      <c r="H43" s="638"/>
      <c r="I43" s="639"/>
      <c r="J43" s="639"/>
      <c r="K43" s="639"/>
      <c r="L43" s="639"/>
      <c r="M43" s="639"/>
      <c r="N43" s="639"/>
      <c r="O43" s="639"/>
      <c r="P43" s="167"/>
      <c r="Q43" s="167"/>
      <c r="R43" s="185"/>
      <c r="S43" s="185"/>
      <c r="T43" s="185"/>
      <c r="U43" s="185"/>
      <c r="V43" s="185"/>
      <c r="W43" s="185"/>
      <c r="X43" s="599"/>
      <c r="Y43" s="167"/>
      <c r="Z43" s="167"/>
      <c r="AA43" s="167"/>
    </row>
    <row r="44" spans="4:27" ht="12" customHeight="1" thickBot="1">
      <c r="D44" s="622">
        <v>0</v>
      </c>
      <c r="H44" s="602"/>
      <c r="I44" s="603"/>
      <c r="J44" s="603"/>
      <c r="K44" s="618">
        <v>2</v>
      </c>
      <c r="L44" s="167"/>
      <c r="M44" s="167"/>
      <c r="N44" s="529" t="s">
        <v>139</v>
      </c>
      <c r="O44" s="529"/>
      <c r="P44" s="529"/>
      <c r="Q44" s="529"/>
      <c r="R44" s="167"/>
      <c r="S44" s="167"/>
      <c r="T44" s="615">
        <v>0</v>
      </c>
      <c r="U44" s="171"/>
      <c r="V44" s="171"/>
      <c r="W44" s="171"/>
      <c r="X44" s="602"/>
      <c r="Y44" s="603"/>
      <c r="Z44" s="603"/>
      <c r="AA44" s="618">
        <v>2</v>
      </c>
    </row>
    <row r="45" spans="2:27" ht="12" customHeight="1" thickTop="1">
      <c r="B45" s="167"/>
      <c r="C45" s="607"/>
      <c r="D45" s="168"/>
      <c r="E45" s="168"/>
      <c r="F45" s="527" t="s">
        <v>135</v>
      </c>
      <c r="G45" s="527"/>
      <c r="H45" s="529"/>
      <c r="I45" s="529"/>
      <c r="J45" s="610"/>
      <c r="K45" s="611"/>
      <c r="L45" s="167"/>
      <c r="M45" s="167"/>
      <c r="N45" s="624" t="s">
        <v>280</v>
      </c>
      <c r="O45" s="624"/>
      <c r="P45" s="624"/>
      <c r="Q45" s="624"/>
      <c r="R45" s="167"/>
      <c r="S45" s="607"/>
      <c r="T45" s="167"/>
      <c r="U45" s="167"/>
      <c r="V45" s="527" t="s">
        <v>137</v>
      </c>
      <c r="W45" s="527"/>
      <c r="X45" s="529"/>
      <c r="Y45" s="529"/>
      <c r="Z45" s="610"/>
      <c r="AA45" s="611"/>
    </row>
    <row r="46" spans="2:27" ht="12" customHeight="1">
      <c r="B46" s="167"/>
      <c r="C46" s="607"/>
      <c r="D46" s="167"/>
      <c r="E46" s="167"/>
      <c r="F46" s="167"/>
      <c r="G46" s="167"/>
      <c r="H46" s="167"/>
      <c r="I46" s="167"/>
      <c r="J46" s="167"/>
      <c r="K46" s="607"/>
      <c r="R46" s="167"/>
      <c r="S46" s="607"/>
      <c r="T46" s="167"/>
      <c r="U46" s="167"/>
      <c r="V46" s="167"/>
      <c r="W46" s="167"/>
      <c r="X46" s="167"/>
      <c r="Y46" s="167"/>
      <c r="Z46" s="167"/>
      <c r="AA46" s="607"/>
    </row>
    <row r="47" spans="2:30" ht="12" customHeight="1" thickBot="1">
      <c r="B47" s="618">
        <v>6</v>
      </c>
      <c r="C47" s="609"/>
      <c r="D47" s="171"/>
      <c r="E47" s="615">
        <v>0</v>
      </c>
      <c r="F47" s="167"/>
      <c r="G47" s="167"/>
      <c r="H47" s="167"/>
      <c r="I47" s="167"/>
      <c r="J47" s="618">
        <v>2</v>
      </c>
      <c r="K47" s="609"/>
      <c r="M47" s="622">
        <v>0</v>
      </c>
      <c r="R47" s="618">
        <v>1</v>
      </c>
      <c r="S47" s="609"/>
      <c r="T47" s="167"/>
      <c r="U47" s="621">
        <v>0</v>
      </c>
      <c r="V47" s="167"/>
      <c r="W47" s="167"/>
      <c r="X47" s="167"/>
      <c r="Y47" s="167"/>
      <c r="Z47" s="618">
        <v>1</v>
      </c>
      <c r="AA47" s="609"/>
      <c r="AC47" s="622">
        <v>0</v>
      </c>
      <c r="AD47" s="167"/>
    </row>
    <row r="48" spans="1:29" ht="12" customHeight="1" thickTop="1">
      <c r="A48" s="607"/>
      <c r="B48" s="529" t="s">
        <v>132</v>
      </c>
      <c r="C48" s="529"/>
      <c r="D48" s="527"/>
      <c r="E48" s="516"/>
      <c r="I48" s="607"/>
      <c r="J48" s="529" t="s">
        <v>131</v>
      </c>
      <c r="K48" s="529"/>
      <c r="L48" s="527"/>
      <c r="M48" s="516"/>
      <c r="Q48" s="607"/>
      <c r="R48" s="529" t="s">
        <v>133</v>
      </c>
      <c r="S48" s="529"/>
      <c r="T48" s="527"/>
      <c r="U48" s="516"/>
      <c r="Y48" s="607"/>
      <c r="Z48" s="529" t="s">
        <v>134</v>
      </c>
      <c r="AA48" s="529"/>
      <c r="AB48" s="527"/>
      <c r="AC48" s="516"/>
    </row>
    <row r="49" spans="1:29" ht="12" customHeight="1">
      <c r="A49" s="607"/>
      <c r="B49" s="167"/>
      <c r="C49" s="167"/>
      <c r="D49" s="167"/>
      <c r="E49" s="169"/>
      <c r="I49" s="607"/>
      <c r="J49" s="167"/>
      <c r="K49" s="167"/>
      <c r="L49" s="167"/>
      <c r="M49" s="169"/>
      <c r="Q49" s="607"/>
      <c r="R49" s="167"/>
      <c r="S49" s="167"/>
      <c r="T49" s="167"/>
      <c r="U49" s="169"/>
      <c r="Y49" s="607"/>
      <c r="Z49" s="167"/>
      <c r="AA49" s="167"/>
      <c r="AB49" s="167"/>
      <c r="AC49" s="169"/>
    </row>
    <row r="50" spans="1:29" ht="12" customHeight="1">
      <c r="A50" s="607"/>
      <c r="B50" s="167"/>
      <c r="C50" s="167"/>
      <c r="D50" s="167"/>
      <c r="E50" s="169"/>
      <c r="I50" s="607"/>
      <c r="J50" s="167"/>
      <c r="K50" s="167"/>
      <c r="L50" s="167"/>
      <c r="M50" s="169"/>
      <c r="Q50" s="607"/>
      <c r="R50" s="167"/>
      <c r="S50" s="167"/>
      <c r="T50" s="167"/>
      <c r="U50" s="169"/>
      <c r="Y50" s="607"/>
      <c r="Z50" s="167"/>
      <c r="AA50" s="167"/>
      <c r="AB50" s="167"/>
      <c r="AC50" s="169"/>
    </row>
    <row r="51" spans="1:29" ht="12" customHeight="1" thickBot="1">
      <c r="A51" s="608"/>
      <c r="B51" s="171"/>
      <c r="C51" s="167"/>
      <c r="D51" s="167"/>
      <c r="E51" s="172"/>
      <c r="I51" s="636"/>
      <c r="J51" s="171"/>
      <c r="K51" s="167"/>
      <c r="L51" s="167"/>
      <c r="M51" s="172"/>
      <c r="Q51" s="608"/>
      <c r="R51" s="171"/>
      <c r="S51" s="167"/>
      <c r="T51" s="167"/>
      <c r="U51" s="172"/>
      <c r="Y51" s="608"/>
      <c r="Z51" s="171"/>
      <c r="AA51" s="167"/>
      <c r="AB51" s="167"/>
      <c r="AC51" s="172"/>
    </row>
    <row r="52" spans="1:30" ht="12" customHeight="1">
      <c r="A52" s="517" t="s">
        <v>16</v>
      </c>
      <c r="B52" s="540"/>
      <c r="C52" s="162"/>
      <c r="D52" s="162"/>
      <c r="E52" s="517" t="s">
        <v>17</v>
      </c>
      <c r="F52" s="518"/>
      <c r="G52" s="162"/>
      <c r="H52" s="162"/>
      <c r="I52" s="533" t="s">
        <v>18</v>
      </c>
      <c r="J52" s="518"/>
      <c r="K52" s="162"/>
      <c r="L52" s="162"/>
      <c r="M52" s="533" t="s">
        <v>19</v>
      </c>
      <c r="N52" s="518"/>
      <c r="O52" s="162"/>
      <c r="P52" s="162"/>
      <c r="Q52" s="517" t="s">
        <v>106</v>
      </c>
      <c r="R52" s="518"/>
      <c r="S52" s="162"/>
      <c r="T52" s="162"/>
      <c r="U52" s="517" t="s">
        <v>20</v>
      </c>
      <c r="V52" s="518"/>
      <c r="W52" s="162"/>
      <c r="X52" s="162"/>
      <c r="Y52" s="517" t="s">
        <v>21</v>
      </c>
      <c r="Z52" s="518"/>
      <c r="AA52" s="162"/>
      <c r="AB52" s="162"/>
      <c r="AC52" s="517" t="s">
        <v>22</v>
      </c>
      <c r="AD52" s="518"/>
    </row>
    <row r="53" spans="1:30" ht="12" customHeight="1">
      <c r="A53" s="519" t="str">
        <f>'予選 (3)'!N71</f>
        <v>三　笠</v>
      </c>
      <c r="B53" s="520"/>
      <c r="C53" s="135"/>
      <c r="D53" s="135"/>
      <c r="E53" s="519" t="str">
        <f>'予選 (3)'!N73</f>
        <v>GINGA</v>
      </c>
      <c r="F53" s="520"/>
      <c r="G53" s="135"/>
      <c r="H53" s="135"/>
      <c r="I53" s="519" t="str">
        <f>'予選 (3)'!N75</f>
        <v>奈良FCjr</v>
      </c>
      <c r="J53" s="520"/>
      <c r="K53" s="135"/>
      <c r="L53" s="135"/>
      <c r="M53" s="519" t="str">
        <f>'予選 (3)'!N77</f>
        <v>FCうりぼう</v>
      </c>
      <c r="N53" s="520"/>
      <c r="O53" s="135"/>
      <c r="P53" s="135"/>
      <c r="Q53" s="536" t="s">
        <v>279</v>
      </c>
      <c r="R53" s="537"/>
      <c r="S53" s="135"/>
      <c r="T53" s="135"/>
      <c r="U53" s="519" t="str">
        <f>'予選 (3)'!N81</f>
        <v>エルマーノ大阪</v>
      </c>
      <c r="V53" s="520"/>
      <c r="W53" s="135"/>
      <c r="X53" s="135"/>
      <c r="Y53" s="519" t="str">
        <f>'予選 (3)'!N83</f>
        <v>ひじり</v>
      </c>
      <c r="Z53" s="520"/>
      <c r="AA53" s="135"/>
      <c r="AB53" s="135"/>
      <c r="AC53" s="519" t="s">
        <v>282</v>
      </c>
      <c r="AD53" s="520"/>
    </row>
    <row r="54" spans="1:30" ht="12" customHeight="1">
      <c r="A54" s="519"/>
      <c r="B54" s="520"/>
      <c r="C54" s="135"/>
      <c r="D54" s="135"/>
      <c r="E54" s="519"/>
      <c r="F54" s="520"/>
      <c r="G54" s="135"/>
      <c r="H54" s="135"/>
      <c r="I54" s="519"/>
      <c r="J54" s="520"/>
      <c r="K54" s="135"/>
      <c r="L54" s="135"/>
      <c r="M54" s="519"/>
      <c r="N54" s="520"/>
      <c r="O54" s="135"/>
      <c r="P54" s="135"/>
      <c r="Q54" s="536"/>
      <c r="R54" s="537"/>
      <c r="S54" s="135"/>
      <c r="T54" s="135"/>
      <c r="U54" s="519"/>
      <c r="V54" s="520"/>
      <c r="W54" s="135"/>
      <c r="X54" s="135"/>
      <c r="Y54" s="519"/>
      <c r="Z54" s="520"/>
      <c r="AA54" s="135"/>
      <c r="AB54" s="135"/>
      <c r="AC54" s="519"/>
      <c r="AD54" s="520"/>
    </row>
    <row r="55" spans="1:30" ht="12" customHeight="1">
      <c r="A55" s="519"/>
      <c r="B55" s="520"/>
      <c r="C55" s="136"/>
      <c r="D55" s="136"/>
      <c r="E55" s="519"/>
      <c r="F55" s="520"/>
      <c r="G55" s="135"/>
      <c r="H55" s="136"/>
      <c r="I55" s="519"/>
      <c r="J55" s="520"/>
      <c r="K55" s="136"/>
      <c r="L55" s="136"/>
      <c r="M55" s="519"/>
      <c r="N55" s="520"/>
      <c r="O55" s="135"/>
      <c r="P55" s="135"/>
      <c r="Q55" s="536"/>
      <c r="R55" s="537"/>
      <c r="S55" s="135"/>
      <c r="T55" s="136"/>
      <c r="U55" s="519"/>
      <c r="V55" s="520"/>
      <c r="W55" s="136"/>
      <c r="X55" s="135"/>
      <c r="Y55" s="519"/>
      <c r="Z55" s="520"/>
      <c r="AA55" s="135"/>
      <c r="AB55" s="136"/>
      <c r="AC55" s="519"/>
      <c r="AD55" s="520"/>
    </row>
    <row r="56" spans="1:30" ht="12" customHeight="1">
      <c r="A56" s="519"/>
      <c r="B56" s="520"/>
      <c r="C56" s="136"/>
      <c r="D56" s="136"/>
      <c r="E56" s="519"/>
      <c r="F56" s="520"/>
      <c r="G56" s="135"/>
      <c r="H56" s="136"/>
      <c r="I56" s="519"/>
      <c r="J56" s="520"/>
      <c r="K56" s="136"/>
      <c r="L56" s="136"/>
      <c r="M56" s="519"/>
      <c r="N56" s="520"/>
      <c r="O56" s="135"/>
      <c r="P56" s="135"/>
      <c r="Q56" s="536"/>
      <c r="R56" s="537"/>
      <c r="S56" s="135"/>
      <c r="T56" s="136"/>
      <c r="U56" s="519"/>
      <c r="V56" s="520"/>
      <c r="W56" s="136"/>
      <c r="X56" s="135"/>
      <c r="Y56" s="519"/>
      <c r="Z56" s="520"/>
      <c r="AA56" s="135"/>
      <c r="AB56" s="136"/>
      <c r="AC56" s="519"/>
      <c r="AD56" s="520"/>
    </row>
    <row r="57" spans="1:30" ht="12" customHeight="1">
      <c r="A57" s="519"/>
      <c r="B57" s="520"/>
      <c r="C57" s="136"/>
      <c r="D57" s="136"/>
      <c r="E57" s="519"/>
      <c r="F57" s="520"/>
      <c r="G57" s="135"/>
      <c r="H57" s="136"/>
      <c r="I57" s="519"/>
      <c r="J57" s="520"/>
      <c r="K57" s="136"/>
      <c r="L57" s="136"/>
      <c r="M57" s="519"/>
      <c r="N57" s="520"/>
      <c r="O57" s="135"/>
      <c r="P57" s="135"/>
      <c r="Q57" s="536"/>
      <c r="R57" s="537"/>
      <c r="S57" s="135"/>
      <c r="T57" s="136"/>
      <c r="U57" s="519"/>
      <c r="V57" s="520"/>
      <c r="W57" s="136"/>
      <c r="X57" s="135"/>
      <c r="Y57" s="519"/>
      <c r="Z57" s="520"/>
      <c r="AA57" s="135"/>
      <c r="AB57" s="136"/>
      <c r="AC57" s="519"/>
      <c r="AD57" s="520"/>
    </row>
    <row r="58" spans="1:30" ht="12" customHeight="1" thickBot="1">
      <c r="A58" s="521"/>
      <c r="B58" s="522"/>
      <c r="C58" s="136"/>
      <c r="D58" s="136"/>
      <c r="E58" s="521"/>
      <c r="F58" s="522"/>
      <c r="G58" s="135"/>
      <c r="H58" s="136"/>
      <c r="I58" s="521"/>
      <c r="J58" s="522"/>
      <c r="K58" s="136"/>
      <c r="L58" s="136"/>
      <c r="M58" s="521"/>
      <c r="N58" s="522"/>
      <c r="O58" s="135"/>
      <c r="P58" s="135"/>
      <c r="Q58" s="538"/>
      <c r="R58" s="539"/>
      <c r="S58" s="135"/>
      <c r="T58" s="136"/>
      <c r="U58" s="521"/>
      <c r="V58" s="522"/>
      <c r="W58" s="136"/>
      <c r="X58" s="135"/>
      <c r="Y58" s="521"/>
      <c r="Z58" s="522"/>
      <c r="AA58" s="135"/>
      <c r="AB58" s="136"/>
      <c r="AC58" s="521"/>
      <c r="AD58" s="522"/>
    </row>
    <row r="59" spans="3:30" ht="12" customHeight="1"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2:30" ht="12" customHeight="1">
      <c r="B60" s="167"/>
      <c r="C60" s="167"/>
      <c r="D60" s="173"/>
      <c r="E60" s="167"/>
      <c r="F60" s="167"/>
      <c r="G60" s="167"/>
      <c r="H60" s="167"/>
      <c r="I60" s="167"/>
      <c r="J60" s="167"/>
      <c r="K60" s="167"/>
      <c r="L60" s="605"/>
      <c r="M60" s="167"/>
      <c r="N60" s="167"/>
      <c r="O60" s="167"/>
      <c r="P60" s="167"/>
      <c r="Q60" s="167"/>
      <c r="R60" s="167"/>
      <c r="S60" s="167"/>
      <c r="T60" s="605"/>
      <c r="U60" s="167"/>
      <c r="V60" s="167"/>
      <c r="W60" s="167"/>
      <c r="X60" s="167"/>
      <c r="Y60" s="167"/>
      <c r="Z60" s="167"/>
      <c r="AA60" s="174"/>
      <c r="AB60" s="167"/>
      <c r="AC60" s="167"/>
      <c r="AD60" s="167"/>
    </row>
    <row r="61" spans="2:30" ht="12" customHeight="1">
      <c r="B61" s="167"/>
      <c r="C61" s="167"/>
      <c r="D61" s="173"/>
      <c r="E61" s="167"/>
      <c r="F61" s="167"/>
      <c r="G61" s="167"/>
      <c r="H61" s="167"/>
      <c r="I61" s="167"/>
      <c r="J61" s="167"/>
      <c r="K61" s="167"/>
      <c r="L61" s="605"/>
      <c r="M61" s="167"/>
      <c r="N61" s="167"/>
      <c r="O61" s="167"/>
      <c r="P61" s="167"/>
      <c r="Q61" s="167"/>
      <c r="R61" s="167"/>
      <c r="S61" s="167"/>
      <c r="T61" s="605"/>
      <c r="U61" s="167"/>
      <c r="V61" s="167"/>
      <c r="W61" s="167"/>
      <c r="X61" s="167"/>
      <c r="Y61" s="167"/>
      <c r="Z61" s="167"/>
      <c r="AA61" s="174"/>
      <c r="AB61" s="167"/>
      <c r="AC61" s="167"/>
      <c r="AD61" s="167"/>
    </row>
    <row r="62" spans="2:30" ht="12" customHeight="1" thickBot="1">
      <c r="B62" s="167"/>
      <c r="C62" s="167"/>
      <c r="D62" s="175"/>
      <c r="E62" s="176"/>
      <c r="F62" s="531" t="s">
        <v>136</v>
      </c>
      <c r="G62" s="531"/>
      <c r="H62" s="529"/>
      <c r="I62" s="529"/>
      <c r="J62" s="167"/>
      <c r="K62" s="167"/>
      <c r="L62" s="605"/>
      <c r="M62" s="167"/>
      <c r="N62" s="167"/>
      <c r="O62" s="167"/>
      <c r="P62" s="167"/>
      <c r="Q62" s="167"/>
      <c r="R62" s="167"/>
      <c r="S62" s="167"/>
      <c r="T62" s="605"/>
      <c r="U62" s="167"/>
      <c r="V62" s="529" t="s">
        <v>138</v>
      </c>
      <c r="W62" s="529"/>
      <c r="X62" s="531"/>
      <c r="Y62" s="531"/>
      <c r="Z62" s="176"/>
      <c r="AA62" s="177"/>
      <c r="AB62" s="167"/>
      <c r="AC62" s="167"/>
      <c r="AD62" s="167"/>
    </row>
    <row r="63" spans="3:28" ht="12" customHeight="1">
      <c r="C63" s="167"/>
      <c r="D63" s="621">
        <v>0</v>
      </c>
      <c r="E63" s="167"/>
      <c r="F63" s="167"/>
      <c r="G63" s="167"/>
      <c r="H63" s="604"/>
      <c r="I63" s="604"/>
      <c r="J63" s="604"/>
      <c r="K63" s="637">
        <v>15</v>
      </c>
      <c r="L63" s="167"/>
      <c r="M63" s="167"/>
      <c r="N63" s="167"/>
      <c r="O63" s="167"/>
      <c r="P63" s="167"/>
      <c r="Q63" s="167"/>
      <c r="R63" s="167"/>
      <c r="S63" s="167"/>
      <c r="T63" s="620">
        <v>2</v>
      </c>
      <c r="U63" s="604"/>
      <c r="V63" s="604"/>
      <c r="W63" s="604"/>
      <c r="X63" s="167"/>
      <c r="Y63" s="167"/>
      <c r="Z63" s="167"/>
      <c r="AA63" s="621">
        <v>0</v>
      </c>
      <c r="AB63" s="167"/>
    </row>
    <row r="64" spans="3:28" ht="12" customHeight="1"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</row>
  </sheetData>
  <sheetProtection selectLockedCells="1"/>
  <mergeCells count="63">
    <mergeCell ref="A19:B24"/>
    <mergeCell ref="E19:F24"/>
    <mergeCell ref="I19:J24"/>
    <mergeCell ref="A18:B18"/>
    <mergeCell ref="E18:F18"/>
    <mergeCell ref="F11:I11"/>
    <mergeCell ref="N8:Q8"/>
    <mergeCell ref="M18:N18"/>
    <mergeCell ref="Q18:R18"/>
    <mergeCell ref="N10:Q10"/>
    <mergeCell ref="I3:V5"/>
    <mergeCell ref="I18:J18"/>
    <mergeCell ref="V11:Y11"/>
    <mergeCell ref="N11:Q11"/>
    <mergeCell ref="N12:Q12"/>
    <mergeCell ref="A3:G3"/>
    <mergeCell ref="Z48:AC48"/>
    <mergeCell ref="V62:Y62"/>
    <mergeCell ref="Q1:AD1"/>
    <mergeCell ref="A4:G4"/>
    <mergeCell ref="A38:G38"/>
    <mergeCell ref="A33:AE34"/>
    <mergeCell ref="B14:E14"/>
    <mergeCell ref="J14:M14"/>
    <mergeCell ref="R14:U14"/>
    <mergeCell ref="Z14:AC14"/>
    <mergeCell ref="Y52:Z52"/>
    <mergeCell ref="Q53:R58"/>
    <mergeCell ref="A52:B52"/>
    <mergeCell ref="M53:N58"/>
    <mergeCell ref="I52:J52"/>
    <mergeCell ref="U53:V58"/>
    <mergeCell ref="AC53:AD58"/>
    <mergeCell ref="A53:B58"/>
    <mergeCell ref="E52:F52"/>
    <mergeCell ref="F62:I62"/>
    <mergeCell ref="Y19:Z24"/>
    <mergeCell ref="I53:J58"/>
    <mergeCell ref="M52:N52"/>
    <mergeCell ref="Q19:R24"/>
    <mergeCell ref="M19:N24"/>
    <mergeCell ref="E53:F58"/>
    <mergeCell ref="Y53:Z58"/>
    <mergeCell ref="F28:I28"/>
    <mergeCell ref="Q52:R52"/>
    <mergeCell ref="V28:Y28"/>
    <mergeCell ref="V45:Y45"/>
    <mergeCell ref="A37:G37"/>
    <mergeCell ref="B48:E48"/>
    <mergeCell ref="J48:M48"/>
    <mergeCell ref="R48:U48"/>
    <mergeCell ref="N44:Q44"/>
    <mergeCell ref="N45:Q45"/>
    <mergeCell ref="AC18:AD18"/>
    <mergeCell ref="AC52:AD52"/>
    <mergeCell ref="U18:V18"/>
    <mergeCell ref="Y18:Z18"/>
    <mergeCell ref="AC19:AD24"/>
    <mergeCell ref="U19:V24"/>
    <mergeCell ref="U52:V52"/>
    <mergeCell ref="I37:V39"/>
    <mergeCell ref="F45:I45"/>
    <mergeCell ref="N42:Q42"/>
  </mergeCells>
  <printOptions/>
  <pageMargins left="0.7874015748031497" right="0.7874015748031497" top="0.6692913385826772" bottom="0.6299212598425197" header="0.5118110236220472" footer="0.31496062992125984"/>
  <pageSetup firstPageNumber="6" useFirstPageNumber="1" horizontalDpi="300" verticalDpi="300" orientation="portrait" paperSize="9" scale="99" r:id="rId1"/>
  <headerFooter alignWithMargins="0">
    <oddFooter>&amp;C&amp;[８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SheetLayoutView="100" zoomScalePageLayoutView="0" workbookViewId="0" topLeftCell="A1">
      <selection activeCell="I37" sqref="I37:V39"/>
    </sheetView>
  </sheetViews>
  <sheetFormatPr defaultColWidth="2.75390625" defaultRowHeight="12" customHeight="1"/>
  <cols>
    <col min="1" max="16384" width="2.75390625" style="165" customWidth="1"/>
  </cols>
  <sheetData>
    <row r="1" spans="1:30" ht="18" customHeight="1">
      <c r="A1" s="180" t="str">
        <f>'2日目トーナメント'!A1</f>
        <v>二日目　順位トーナメント（８月６日）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64"/>
      <c r="O1" s="164"/>
      <c r="P1" s="164"/>
      <c r="Q1" s="549" t="s">
        <v>56</v>
      </c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</row>
    <row r="2" ht="16.5" customHeight="1" thickBot="1"/>
    <row r="3" spans="1:22" ht="13.5" customHeight="1">
      <c r="A3" s="532" t="s">
        <v>3</v>
      </c>
      <c r="B3" s="532"/>
      <c r="C3" s="532"/>
      <c r="D3" s="532"/>
      <c r="E3" s="532"/>
      <c r="F3" s="532"/>
      <c r="G3" s="532"/>
      <c r="I3" s="626" t="s">
        <v>285</v>
      </c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8"/>
    </row>
    <row r="4" spans="1:22" ht="13.5" customHeight="1">
      <c r="A4" s="550" t="s">
        <v>193</v>
      </c>
      <c r="B4" s="550"/>
      <c r="C4" s="550"/>
      <c r="D4" s="550"/>
      <c r="E4" s="550"/>
      <c r="F4" s="550"/>
      <c r="G4" s="550"/>
      <c r="I4" s="629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1"/>
    </row>
    <row r="5" spans="9:22" ht="12" customHeight="1" thickBot="1">
      <c r="I5" s="632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4"/>
    </row>
    <row r="6" spans="5:23" ht="12" customHeight="1">
      <c r="E6" s="167"/>
      <c r="F6" s="167"/>
      <c r="G6" s="167"/>
      <c r="H6" s="167"/>
      <c r="P6" s="599"/>
      <c r="Q6" s="167"/>
      <c r="R6" s="167"/>
      <c r="S6" s="167"/>
      <c r="T6" s="167"/>
      <c r="U6" s="167"/>
      <c r="V6" s="167"/>
      <c r="W6" s="167"/>
    </row>
    <row r="7" spans="5:23" ht="12" customHeight="1" thickBot="1">
      <c r="E7" s="167"/>
      <c r="F7" s="167"/>
      <c r="G7" s="167"/>
      <c r="H7" s="621">
        <v>0</v>
      </c>
      <c r="I7" s="167"/>
      <c r="J7" s="167"/>
      <c r="K7" s="167"/>
      <c r="L7" s="167"/>
      <c r="P7" s="602"/>
      <c r="Q7" s="603"/>
      <c r="R7" s="603"/>
      <c r="S7" s="603"/>
      <c r="T7" s="603"/>
      <c r="U7" s="603"/>
      <c r="V7" s="603"/>
      <c r="W7" s="618">
        <v>1</v>
      </c>
    </row>
    <row r="8" spans="4:29" ht="12" customHeight="1" thickTop="1">
      <c r="D8" s="167"/>
      <c r="E8" s="167"/>
      <c r="F8" s="167"/>
      <c r="G8" s="607"/>
      <c r="H8" s="168"/>
      <c r="I8" s="168"/>
      <c r="J8" s="168"/>
      <c r="K8" s="168"/>
      <c r="L8" s="168"/>
      <c r="M8" s="168"/>
      <c r="N8" s="527" t="s">
        <v>140</v>
      </c>
      <c r="O8" s="527"/>
      <c r="P8" s="529"/>
      <c r="Q8" s="529"/>
      <c r="R8" s="167"/>
      <c r="S8" s="167"/>
      <c r="T8" s="167"/>
      <c r="U8" s="167"/>
      <c r="V8" s="167"/>
      <c r="W8" s="607"/>
      <c r="AC8" s="167"/>
    </row>
    <row r="9" spans="4:23" ht="12" customHeight="1">
      <c r="D9" s="167"/>
      <c r="E9" s="167"/>
      <c r="F9" s="167"/>
      <c r="G9" s="607"/>
      <c r="H9" s="638"/>
      <c r="I9" s="639"/>
      <c r="J9" s="639"/>
      <c r="K9" s="639"/>
      <c r="L9" s="639"/>
      <c r="M9" s="639"/>
      <c r="N9" s="639"/>
      <c r="O9" s="639"/>
      <c r="P9" s="167"/>
      <c r="Q9" s="167"/>
      <c r="R9" s="167"/>
      <c r="S9" s="167"/>
      <c r="T9" s="167"/>
      <c r="U9" s="167"/>
      <c r="V9" s="167"/>
      <c r="W9" s="607"/>
    </row>
    <row r="10" spans="4:27" ht="12" customHeight="1" thickBot="1">
      <c r="D10" s="618">
        <v>1</v>
      </c>
      <c r="E10" s="603"/>
      <c r="F10" s="603"/>
      <c r="G10" s="609"/>
      <c r="H10" s="171"/>
      <c r="I10" s="171"/>
      <c r="J10" s="171"/>
      <c r="K10" s="615">
        <v>0</v>
      </c>
      <c r="L10" s="167"/>
      <c r="M10" s="167"/>
      <c r="N10" s="529" t="s">
        <v>139</v>
      </c>
      <c r="O10" s="529"/>
      <c r="P10" s="548"/>
      <c r="Q10" s="548"/>
      <c r="R10" s="235"/>
      <c r="S10" s="235"/>
      <c r="T10" s="641">
        <v>5</v>
      </c>
      <c r="U10" s="235"/>
      <c r="V10" s="612"/>
      <c r="W10" s="613"/>
      <c r="AA10" s="622">
        <v>1</v>
      </c>
    </row>
    <row r="11" spans="4:29" ht="12" customHeight="1" thickTop="1">
      <c r="D11" s="599"/>
      <c r="E11" s="167"/>
      <c r="F11" s="529" t="s">
        <v>135</v>
      </c>
      <c r="G11" s="529"/>
      <c r="H11" s="527"/>
      <c r="I11" s="527"/>
      <c r="J11" s="167"/>
      <c r="K11" s="167"/>
      <c r="L11" s="599"/>
      <c r="M11" s="167"/>
      <c r="N11" s="624" t="s">
        <v>284</v>
      </c>
      <c r="O11" s="624"/>
      <c r="P11" s="624"/>
      <c r="Q11" s="624"/>
      <c r="R11" s="167"/>
      <c r="S11" s="167"/>
      <c r="T11" s="642"/>
      <c r="U11" s="610"/>
      <c r="V11" s="529" t="s">
        <v>137</v>
      </c>
      <c r="W11" s="529"/>
      <c r="X11" s="527"/>
      <c r="Y11" s="527"/>
      <c r="Z11" s="168"/>
      <c r="AA11" s="168"/>
      <c r="AB11" s="599"/>
      <c r="AC11" s="167"/>
    </row>
    <row r="12" spans="2:29" ht="12" customHeight="1">
      <c r="B12" s="167"/>
      <c r="C12" s="167"/>
      <c r="D12" s="599"/>
      <c r="E12" s="167"/>
      <c r="F12" s="167"/>
      <c r="G12" s="167"/>
      <c r="H12" s="167"/>
      <c r="I12" s="167"/>
      <c r="J12" s="167"/>
      <c r="K12" s="167"/>
      <c r="L12" s="599"/>
      <c r="M12" s="167"/>
      <c r="O12" s="167"/>
      <c r="P12" s="167"/>
      <c r="R12" s="167"/>
      <c r="S12" s="167"/>
      <c r="T12" s="599"/>
      <c r="U12" s="167"/>
      <c r="V12" s="167"/>
      <c r="W12" s="167"/>
      <c r="X12" s="167"/>
      <c r="Y12" s="167"/>
      <c r="Z12" s="167"/>
      <c r="AA12" s="167"/>
      <c r="AB12" s="599"/>
      <c r="AC12" s="167"/>
    </row>
    <row r="13" spans="2:30" ht="12" customHeight="1" thickBot="1">
      <c r="B13" s="615">
        <v>1</v>
      </c>
      <c r="C13" s="171"/>
      <c r="D13" s="602"/>
      <c r="E13" s="618">
        <v>3</v>
      </c>
      <c r="F13" s="167"/>
      <c r="G13" s="167"/>
      <c r="H13" s="167"/>
      <c r="I13" s="167"/>
      <c r="J13" s="615">
        <v>1</v>
      </c>
      <c r="K13" s="171"/>
      <c r="L13" s="602"/>
      <c r="M13" s="618">
        <v>2</v>
      </c>
      <c r="O13" s="167"/>
      <c r="P13" s="167"/>
      <c r="R13" s="621">
        <v>1</v>
      </c>
      <c r="S13" s="167"/>
      <c r="T13" s="602"/>
      <c r="U13" s="618">
        <v>3</v>
      </c>
      <c r="V13" s="167"/>
      <c r="W13" s="167"/>
      <c r="X13" s="167"/>
      <c r="Y13" s="167"/>
      <c r="Z13" s="621">
        <v>2</v>
      </c>
      <c r="AA13" s="167"/>
      <c r="AB13" s="602"/>
      <c r="AC13" s="618">
        <v>3</v>
      </c>
      <c r="AD13" s="167"/>
    </row>
    <row r="14" spans="2:30" ht="12" customHeight="1">
      <c r="B14" s="515" t="s">
        <v>132</v>
      </c>
      <c r="C14" s="527"/>
      <c r="D14" s="528"/>
      <c r="E14" s="529"/>
      <c r="F14" s="599"/>
      <c r="I14" s="169"/>
      <c r="J14" s="527" t="s">
        <v>131</v>
      </c>
      <c r="K14" s="527"/>
      <c r="L14" s="529"/>
      <c r="M14" s="529"/>
      <c r="N14" s="599"/>
      <c r="O14" s="167"/>
      <c r="P14" s="167"/>
      <c r="R14" s="515" t="s">
        <v>133</v>
      </c>
      <c r="S14" s="527"/>
      <c r="T14" s="529"/>
      <c r="U14" s="529"/>
      <c r="V14" s="599"/>
      <c r="Z14" s="515" t="s">
        <v>134</v>
      </c>
      <c r="AA14" s="527"/>
      <c r="AB14" s="529"/>
      <c r="AC14" s="529"/>
      <c r="AD14" s="599"/>
    </row>
    <row r="15" spans="2:30" ht="12" customHeight="1">
      <c r="B15" s="166"/>
      <c r="C15" s="167"/>
      <c r="D15" s="167"/>
      <c r="E15" s="167"/>
      <c r="F15" s="599"/>
      <c r="I15" s="169"/>
      <c r="J15" s="167"/>
      <c r="K15" s="167"/>
      <c r="L15" s="167"/>
      <c r="M15" s="167"/>
      <c r="N15" s="599"/>
      <c r="O15" s="167"/>
      <c r="P15" s="167"/>
      <c r="R15" s="166"/>
      <c r="S15" s="167"/>
      <c r="T15" s="167"/>
      <c r="U15" s="167"/>
      <c r="V15" s="599"/>
      <c r="Z15" s="166"/>
      <c r="AA15" s="167"/>
      <c r="AB15" s="167"/>
      <c r="AC15" s="167"/>
      <c r="AD15" s="599"/>
    </row>
    <row r="16" spans="2:30" ht="12" customHeight="1">
      <c r="B16" s="166"/>
      <c r="C16" s="167"/>
      <c r="D16" s="167"/>
      <c r="E16" s="167"/>
      <c r="F16" s="599"/>
      <c r="I16" s="217"/>
      <c r="J16" s="166"/>
      <c r="K16" s="167"/>
      <c r="L16" s="167"/>
      <c r="M16" s="167"/>
      <c r="N16" s="599"/>
      <c r="R16" s="166"/>
      <c r="S16" s="167"/>
      <c r="T16" s="167"/>
      <c r="U16" s="167"/>
      <c r="V16" s="599"/>
      <c r="Z16" s="166"/>
      <c r="AA16" s="167"/>
      <c r="AB16" s="167"/>
      <c r="AC16" s="167"/>
      <c r="AD16" s="599"/>
    </row>
    <row r="17" spans="2:30" ht="12" customHeight="1" thickBot="1">
      <c r="B17" s="170"/>
      <c r="C17" s="167"/>
      <c r="D17" s="167"/>
      <c r="E17" s="171"/>
      <c r="F17" s="600"/>
      <c r="J17" s="170"/>
      <c r="K17" s="167"/>
      <c r="L17" s="167"/>
      <c r="M17" s="171"/>
      <c r="N17" s="600"/>
      <c r="R17" s="170"/>
      <c r="S17" s="167"/>
      <c r="T17" s="167"/>
      <c r="U17" s="171"/>
      <c r="V17" s="600"/>
      <c r="Z17" s="170"/>
      <c r="AA17" s="167"/>
      <c r="AB17" s="167"/>
      <c r="AC17" s="171"/>
      <c r="AD17" s="600"/>
    </row>
    <row r="18" spans="1:30" ht="12" customHeight="1">
      <c r="A18" s="515" t="s">
        <v>23</v>
      </c>
      <c r="B18" s="530"/>
      <c r="E18" s="515" t="s">
        <v>24</v>
      </c>
      <c r="F18" s="516"/>
      <c r="I18" s="515" t="s">
        <v>25</v>
      </c>
      <c r="J18" s="516"/>
      <c r="M18" s="528" t="s">
        <v>26</v>
      </c>
      <c r="N18" s="516"/>
      <c r="Q18" s="515" t="s">
        <v>27</v>
      </c>
      <c r="R18" s="516"/>
      <c r="U18" s="515" t="s">
        <v>28</v>
      </c>
      <c r="V18" s="516"/>
      <c r="Y18" s="515" t="s">
        <v>29</v>
      </c>
      <c r="Z18" s="516"/>
      <c r="AC18" s="515" t="s">
        <v>30</v>
      </c>
      <c r="AD18" s="516"/>
    </row>
    <row r="19" spans="1:30" ht="12" customHeight="1">
      <c r="A19" s="519" t="str">
        <f>'予選 (3)'!T71</f>
        <v>矢　倉</v>
      </c>
      <c r="B19" s="520"/>
      <c r="C19" s="135"/>
      <c r="D19" s="135"/>
      <c r="E19" s="519" t="str">
        <f>'予選 (3)'!T73</f>
        <v>生野朝鮮初級</v>
      </c>
      <c r="F19" s="520"/>
      <c r="G19" s="135"/>
      <c r="H19" s="135"/>
      <c r="I19" s="519" t="str">
        <f>'予選 (3)'!T75</f>
        <v>門真北風</v>
      </c>
      <c r="J19" s="520"/>
      <c r="K19" s="135"/>
      <c r="L19" s="135"/>
      <c r="M19" s="519" t="str">
        <f>'予選 (3)'!T77</f>
        <v>CAOS</v>
      </c>
      <c r="N19" s="520"/>
      <c r="O19" s="135"/>
      <c r="P19" s="135"/>
      <c r="Q19" s="519" t="str">
        <f>'予選 (3)'!T79</f>
        <v>高　市</v>
      </c>
      <c r="R19" s="520"/>
      <c r="S19" s="135"/>
      <c r="T19" s="135"/>
      <c r="U19" s="552" t="s">
        <v>272</v>
      </c>
      <c r="V19" s="553"/>
      <c r="W19" s="135"/>
      <c r="X19" s="135"/>
      <c r="Y19" s="519" t="str">
        <f>'予選 (3)'!T83</f>
        <v>桜　井</v>
      </c>
      <c r="Z19" s="520"/>
      <c r="AA19" s="135"/>
      <c r="AB19" s="135"/>
      <c r="AC19" s="519" t="s">
        <v>283</v>
      </c>
      <c r="AD19" s="520"/>
    </row>
    <row r="20" spans="1:30" ht="12" customHeight="1">
      <c r="A20" s="519"/>
      <c r="B20" s="520"/>
      <c r="C20" s="135"/>
      <c r="D20" s="135"/>
      <c r="E20" s="519"/>
      <c r="F20" s="520"/>
      <c r="G20" s="135"/>
      <c r="H20" s="135"/>
      <c r="I20" s="519"/>
      <c r="J20" s="520"/>
      <c r="K20" s="135"/>
      <c r="L20" s="135"/>
      <c r="M20" s="519"/>
      <c r="N20" s="520"/>
      <c r="O20" s="135"/>
      <c r="P20" s="135"/>
      <c r="Q20" s="519"/>
      <c r="R20" s="520"/>
      <c r="S20" s="135"/>
      <c r="T20" s="135"/>
      <c r="U20" s="552"/>
      <c r="V20" s="553"/>
      <c r="W20" s="135"/>
      <c r="X20" s="135"/>
      <c r="Y20" s="519"/>
      <c r="Z20" s="520"/>
      <c r="AA20" s="135"/>
      <c r="AB20" s="135"/>
      <c r="AC20" s="519"/>
      <c r="AD20" s="520"/>
    </row>
    <row r="21" spans="1:30" ht="12" customHeight="1">
      <c r="A21" s="519"/>
      <c r="B21" s="520"/>
      <c r="C21" s="136"/>
      <c r="D21" s="136"/>
      <c r="E21" s="519"/>
      <c r="F21" s="520"/>
      <c r="G21" s="135"/>
      <c r="H21" s="136"/>
      <c r="I21" s="519"/>
      <c r="J21" s="520"/>
      <c r="K21" s="136"/>
      <c r="L21" s="136"/>
      <c r="M21" s="519"/>
      <c r="N21" s="520"/>
      <c r="O21" s="135"/>
      <c r="P21" s="135"/>
      <c r="Q21" s="519"/>
      <c r="R21" s="520"/>
      <c r="S21" s="135"/>
      <c r="T21" s="136"/>
      <c r="U21" s="552"/>
      <c r="V21" s="553"/>
      <c r="W21" s="136"/>
      <c r="X21" s="135"/>
      <c r="Y21" s="519"/>
      <c r="Z21" s="520"/>
      <c r="AA21" s="135"/>
      <c r="AB21" s="136"/>
      <c r="AC21" s="519"/>
      <c r="AD21" s="520"/>
    </row>
    <row r="22" spans="1:30" ht="12" customHeight="1">
      <c r="A22" s="519"/>
      <c r="B22" s="520"/>
      <c r="C22" s="136"/>
      <c r="D22" s="136"/>
      <c r="E22" s="519"/>
      <c r="F22" s="520"/>
      <c r="G22" s="135"/>
      <c r="H22" s="136"/>
      <c r="I22" s="519"/>
      <c r="J22" s="520"/>
      <c r="K22" s="136"/>
      <c r="L22" s="136"/>
      <c r="M22" s="519"/>
      <c r="N22" s="520"/>
      <c r="O22" s="135"/>
      <c r="P22" s="135"/>
      <c r="Q22" s="519"/>
      <c r="R22" s="520"/>
      <c r="S22" s="135"/>
      <c r="T22" s="136"/>
      <c r="U22" s="552"/>
      <c r="V22" s="553"/>
      <c r="W22" s="136"/>
      <c r="X22" s="135"/>
      <c r="Y22" s="519"/>
      <c r="Z22" s="520"/>
      <c r="AA22" s="135"/>
      <c r="AB22" s="136"/>
      <c r="AC22" s="519"/>
      <c r="AD22" s="520"/>
    </row>
    <row r="23" spans="1:30" ht="12" customHeight="1">
      <c r="A23" s="519"/>
      <c r="B23" s="520"/>
      <c r="C23" s="136"/>
      <c r="D23" s="136"/>
      <c r="E23" s="519"/>
      <c r="F23" s="520"/>
      <c r="G23" s="135"/>
      <c r="H23" s="136"/>
      <c r="I23" s="519"/>
      <c r="J23" s="520"/>
      <c r="K23" s="136"/>
      <c r="L23" s="136"/>
      <c r="M23" s="519"/>
      <c r="N23" s="520"/>
      <c r="O23" s="135"/>
      <c r="P23" s="135"/>
      <c r="Q23" s="519"/>
      <c r="R23" s="520"/>
      <c r="S23" s="135"/>
      <c r="T23" s="136"/>
      <c r="U23" s="552"/>
      <c r="V23" s="553"/>
      <c r="W23" s="136"/>
      <c r="X23" s="135"/>
      <c r="Y23" s="519"/>
      <c r="Z23" s="520"/>
      <c r="AA23" s="135"/>
      <c r="AB23" s="136"/>
      <c r="AC23" s="519"/>
      <c r="AD23" s="520"/>
    </row>
    <row r="24" spans="1:30" ht="12" customHeight="1" thickBot="1">
      <c r="A24" s="521"/>
      <c r="B24" s="522"/>
      <c r="C24" s="136"/>
      <c r="D24" s="136"/>
      <c r="E24" s="521"/>
      <c r="F24" s="522"/>
      <c r="G24" s="135"/>
      <c r="H24" s="136"/>
      <c r="I24" s="521"/>
      <c r="J24" s="522"/>
      <c r="K24" s="136"/>
      <c r="L24" s="136"/>
      <c r="M24" s="521"/>
      <c r="N24" s="522"/>
      <c r="O24" s="135"/>
      <c r="P24" s="135"/>
      <c r="Q24" s="521"/>
      <c r="R24" s="522"/>
      <c r="S24" s="135"/>
      <c r="T24" s="136"/>
      <c r="U24" s="554"/>
      <c r="V24" s="555"/>
      <c r="W24" s="136"/>
      <c r="X24" s="135"/>
      <c r="Y24" s="521"/>
      <c r="Z24" s="522"/>
      <c r="AA24" s="135"/>
      <c r="AB24" s="136"/>
      <c r="AC24" s="521"/>
      <c r="AD24" s="522"/>
    </row>
    <row r="25" spans="3:30" ht="12" customHeight="1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2:30" ht="12" customHeight="1">
      <c r="B26" s="167"/>
      <c r="C26" s="167"/>
      <c r="D26" s="605"/>
      <c r="E26" s="167"/>
      <c r="F26" s="167"/>
      <c r="G26" s="167"/>
      <c r="H26" s="167"/>
      <c r="I26" s="167"/>
      <c r="J26" s="167"/>
      <c r="K26" s="174"/>
      <c r="L26" s="167"/>
      <c r="M26" s="167"/>
      <c r="N26" s="167"/>
      <c r="O26" s="167"/>
      <c r="P26" s="167"/>
      <c r="Q26" s="167"/>
      <c r="R26" s="167"/>
      <c r="S26" s="643"/>
      <c r="T26" s="167"/>
      <c r="U26" s="167"/>
      <c r="V26" s="167"/>
      <c r="W26" s="167"/>
      <c r="X26" s="167"/>
      <c r="Y26" s="167"/>
      <c r="Z26" s="167"/>
      <c r="AA26" s="174"/>
      <c r="AB26" s="167"/>
      <c r="AC26" s="167"/>
      <c r="AD26" s="167"/>
    </row>
    <row r="27" spans="2:30" ht="12" customHeight="1">
      <c r="B27" s="167"/>
      <c r="C27" s="167"/>
      <c r="D27" s="605"/>
      <c r="E27" s="167"/>
      <c r="F27" s="167"/>
      <c r="G27" s="167"/>
      <c r="H27" s="167"/>
      <c r="I27" s="167"/>
      <c r="J27" s="167"/>
      <c r="K27" s="174"/>
      <c r="L27" s="167"/>
      <c r="M27" s="167"/>
      <c r="N27" s="167"/>
      <c r="O27" s="167"/>
      <c r="P27" s="167"/>
      <c r="Q27" s="167"/>
      <c r="R27" s="167"/>
      <c r="S27" s="643"/>
      <c r="T27" s="167"/>
      <c r="U27" s="167"/>
      <c r="V27" s="167"/>
      <c r="W27" s="167"/>
      <c r="X27" s="167"/>
      <c r="Y27" s="167"/>
      <c r="Z27" s="167"/>
      <c r="AA27" s="174"/>
      <c r="AB27" s="167"/>
      <c r="AC27" s="167"/>
      <c r="AD27" s="167"/>
    </row>
    <row r="28" spans="2:30" ht="12" customHeight="1" thickBot="1">
      <c r="B28" s="167"/>
      <c r="C28" s="167"/>
      <c r="D28" s="606"/>
      <c r="E28" s="167"/>
      <c r="F28" s="529" t="s">
        <v>136</v>
      </c>
      <c r="G28" s="529"/>
      <c r="H28" s="534"/>
      <c r="I28" s="535"/>
      <c r="J28" s="176"/>
      <c r="K28" s="177"/>
      <c r="L28" s="167"/>
      <c r="M28" s="167"/>
      <c r="N28" s="167"/>
      <c r="O28" s="167"/>
      <c r="P28" s="167"/>
      <c r="Q28" s="167"/>
      <c r="R28" s="167"/>
      <c r="S28" s="643"/>
      <c r="T28" s="167"/>
      <c r="U28" s="167"/>
      <c r="V28" s="529" t="s">
        <v>138</v>
      </c>
      <c r="W28" s="529"/>
      <c r="X28" s="531"/>
      <c r="Y28" s="531"/>
      <c r="Z28" s="176"/>
      <c r="AA28" s="177"/>
      <c r="AB28" s="167"/>
      <c r="AC28" s="167"/>
      <c r="AD28" s="167"/>
    </row>
    <row r="29" spans="2:31" ht="12" customHeight="1">
      <c r="B29" s="167"/>
      <c r="C29" s="167"/>
      <c r="D29" s="620">
        <v>4</v>
      </c>
      <c r="E29" s="604"/>
      <c r="F29" s="604"/>
      <c r="G29" s="604"/>
      <c r="H29" s="167"/>
      <c r="I29" s="167"/>
      <c r="J29" s="167"/>
      <c r="K29" s="621">
        <v>0</v>
      </c>
      <c r="L29" s="167"/>
      <c r="M29" s="167"/>
      <c r="N29" s="167"/>
      <c r="O29" s="167"/>
      <c r="P29" s="167"/>
      <c r="Q29" s="167"/>
      <c r="R29" s="167"/>
      <c r="S29" s="167"/>
      <c r="T29" s="620">
        <v>3</v>
      </c>
      <c r="U29" s="604"/>
      <c r="V29" s="604"/>
      <c r="W29" s="604"/>
      <c r="X29" s="167"/>
      <c r="Y29" s="167"/>
      <c r="Z29" s="167"/>
      <c r="AA29" s="621">
        <v>1</v>
      </c>
      <c r="AB29" s="167"/>
      <c r="AC29" s="167"/>
      <c r="AD29" s="167"/>
      <c r="AE29" s="167"/>
    </row>
    <row r="30" spans="2:31" ht="12" customHeight="1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2:31" ht="12" customHeight="1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2:31" ht="12" customHeigh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</row>
    <row r="33" spans="1:31" ht="16.5" customHeight="1">
      <c r="A33" s="541" t="s">
        <v>141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3"/>
      <c r="O33" s="543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4"/>
    </row>
    <row r="34" spans="1:31" ht="16.5" customHeight="1">
      <c r="A34" s="545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6"/>
      <c r="AC34" s="546"/>
      <c r="AD34" s="546"/>
      <c r="AE34" s="547"/>
    </row>
    <row r="35" spans="1:30" ht="16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</row>
    <row r="36" ht="15.75" customHeight="1" thickBot="1"/>
    <row r="37" spans="1:22" ht="13.5" customHeight="1">
      <c r="A37" s="532" t="s">
        <v>119</v>
      </c>
      <c r="B37" s="532"/>
      <c r="C37" s="532"/>
      <c r="D37" s="532"/>
      <c r="E37" s="532"/>
      <c r="F37" s="532"/>
      <c r="G37" s="532"/>
      <c r="I37" s="626" t="s">
        <v>288</v>
      </c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  <c r="U37" s="627"/>
      <c r="V37" s="628"/>
    </row>
    <row r="38" spans="1:22" ht="14.25" customHeight="1">
      <c r="A38" s="551" t="s">
        <v>194</v>
      </c>
      <c r="B38" s="551"/>
      <c r="C38" s="551"/>
      <c r="D38" s="551"/>
      <c r="E38" s="551"/>
      <c r="F38" s="551"/>
      <c r="G38" s="551"/>
      <c r="I38" s="629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1"/>
    </row>
    <row r="39" spans="9:22" ht="12" customHeight="1" thickBot="1">
      <c r="I39" s="632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4"/>
    </row>
    <row r="40" spans="16:23" ht="12" customHeight="1">
      <c r="P40" s="599"/>
      <c r="Q40" s="167"/>
      <c r="R40" s="167"/>
      <c r="S40" s="167"/>
      <c r="T40" s="167"/>
      <c r="U40" s="167"/>
      <c r="V40" s="167"/>
      <c r="W40" s="167"/>
    </row>
    <row r="41" spans="8:23" ht="12" customHeight="1" thickBot="1">
      <c r="H41" s="622">
        <v>0</v>
      </c>
      <c r="P41" s="602"/>
      <c r="Q41" s="603"/>
      <c r="R41" s="603"/>
      <c r="S41" s="603"/>
      <c r="T41" s="603"/>
      <c r="U41" s="603"/>
      <c r="V41" s="603"/>
      <c r="W41" s="618">
        <v>4</v>
      </c>
    </row>
    <row r="42" spans="8:29" ht="12" customHeight="1" thickTop="1">
      <c r="H42" s="601"/>
      <c r="I42" s="168"/>
      <c r="J42" s="168"/>
      <c r="K42" s="168"/>
      <c r="L42" s="168"/>
      <c r="M42" s="168"/>
      <c r="N42" s="527" t="s">
        <v>140</v>
      </c>
      <c r="O42" s="527"/>
      <c r="P42" s="529"/>
      <c r="Q42" s="529"/>
      <c r="R42" s="167"/>
      <c r="S42" s="167"/>
      <c r="T42" s="167"/>
      <c r="U42" s="167"/>
      <c r="V42" s="167"/>
      <c r="W42" s="167"/>
      <c r="X42" s="599"/>
      <c r="Y42" s="167"/>
      <c r="AC42" s="167"/>
    </row>
    <row r="43" spans="8:25" ht="12" customHeight="1">
      <c r="H43" s="635"/>
      <c r="I43" s="185"/>
      <c r="J43" s="185"/>
      <c r="K43" s="185"/>
      <c r="L43" s="185"/>
      <c r="M43" s="185"/>
      <c r="N43" s="167"/>
      <c r="O43" s="167"/>
      <c r="P43" s="167"/>
      <c r="Q43" s="167"/>
      <c r="R43" s="185"/>
      <c r="S43" s="185"/>
      <c r="T43" s="185"/>
      <c r="U43" s="185"/>
      <c r="V43" s="185"/>
      <c r="W43" s="185"/>
      <c r="X43" s="599"/>
      <c r="Y43" s="167"/>
    </row>
    <row r="44" spans="4:27" ht="12" customHeight="1" thickBot="1">
      <c r="D44" s="622">
        <v>0</v>
      </c>
      <c r="H44" s="602"/>
      <c r="I44" s="603"/>
      <c r="J44" s="603"/>
      <c r="K44" s="618">
        <v>3</v>
      </c>
      <c r="L44" s="167"/>
      <c r="M44" s="167"/>
      <c r="N44" s="529" t="s">
        <v>139</v>
      </c>
      <c r="O44" s="529"/>
      <c r="P44" s="529"/>
      <c r="Q44" s="529"/>
      <c r="R44" s="167"/>
      <c r="S44" s="167"/>
      <c r="T44" s="615">
        <v>0</v>
      </c>
      <c r="U44" s="171"/>
      <c r="V44" s="171"/>
      <c r="W44" s="171"/>
      <c r="X44" s="602"/>
      <c r="Y44" s="603"/>
      <c r="AA44" s="622">
        <v>2</v>
      </c>
    </row>
    <row r="45" spans="2:27" ht="12" customHeight="1" thickTop="1">
      <c r="B45" s="167"/>
      <c r="C45" s="607"/>
      <c r="D45" s="168"/>
      <c r="E45" s="168"/>
      <c r="F45" s="527" t="s">
        <v>135</v>
      </c>
      <c r="G45" s="527"/>
      <c r="H45" s="529"/>
      <c r="I45" s="529"/>
      <c r="J45" s="167"/>
      <c r="K45" s="167"/>
      <c r="L45" s="599"/>
      <c r="M45" s="167"/>
      <c r="N45" s="167"/>
      <c r="O45" s="167"/>
      <c r="P45" s="167"/>
      <c r="Q45" s="167"/>
      <c r="R45" s="167"/>
      <c r="S45" s="607"/>
      <c r="T45" s="167"/>
      <c r="U45" s="167"/>
      <c r="V45" s="527" t="s">
        <v>137</v>
      </c>
      <c r="W45" s="527"/>
      <c r="X45" s="529"/>
      <c r="Y45" s="529"/>
      <c r="Z45" s="610"/>
      <c r="AA45" s="611"/>
    </row>
    <row r="46" spans="2:27" ht="12" customHeight="1">
      <c r="B46" s="167"/>
      <c r="C46" s="607"/>
      <c r="D46" s="167"/>
      <c r="E46" s="167"/>
      <c r="F46" s="167"/>
      <c r="G46" s="167"/>
      <c r="H46" s="167"/>
      <c r="I46" s="167"/>
      <c r="J46" s="167"/>
      <c r="K46" s="167"/>
      <c r="L46" s="599"/>
      <c r="M46" s="167"/>
      <c r="R46" s="167"/>
      <c r="S46" s="607"/>
      <c r="T46" s="167"/>
      <c r="U46" s="167"/>
      <c r="V46" s="167"/>
      <c r="W46" s="167"/>
      <c r="X46" s="167"/>
      <c r="Y46" s="167"/>
      <c r="Z46" s="167"/>
      <c r="AA46" s="607"/>
    </row>
    <row r="47" spans="2:30" ht="12" customHeight="1" thickBot="1">
      <c r="B47" s="618">
        <v>3</v>
      </c>
      <c r="C47" s="609"/>
      <c r="D47" s="171"/>
      <c r="E47" s="615">
        <v>1</v>
      </c>
      <c r="F47" s="167"/>
      <c r="G47" s="167"/>
      <c r="H47" s="167"/>
      <c r="I47" s="167"/>
      <c r="J47" s="615">
        <v>1</v>
      </c>
      <c r="K47" s="171"/>
      <c r="L47" s="602"/>
      <c r="M47" s="618">
        <v>1</v>
      </c>
      <c r="R47" s="618">
        <v>1</v>
      </c>
      <c r="S47" s="609"/>
      <c r="T47" s="167"/>
      <c r="U47" s="621">
        <v>1</v>
      </c>
      <c r="V47" s="167"/>
      <c r="W47" s="167"/>
      <c r="X47" s="167"/>
      <c r="Y47" s="167"/>
      <c r="Z47" s="618">
        <v>4</v>
      </c>
      <c r="AA47" s="609"/>
      <c r="AC47" s="622">
        <v>0</v>
      </c>
      <c r="AD47" s="167"/>
    </row>
    <row r="48" spans="1:29" ht="12" customHeight="1" thickTop="1">
      <c r="A48" s="607"/>
      <c r="B48" s="529" t="s">
        <v>132</v>
      </c>
      <c r="C48" s="529"/>
      <c r="D48" s="527"/>
      <c r="E48" s="516"/>
      <c r="J48" s="515" t="s">
        <v>131</v>
      </c>
      <c r="K48" s="527"/>
      <c r="L48" s="529"/>
      <c r="M48" s="530"/>
      <c r="Q48" s="607"/>
      <c r="R48" s="529" t="s">
        <v>133</v>
      </c>
      <c r="S48" s="529"/>
      <c r="T48" s="527"/>
      <c r="U48" s="516"/>
      <c r="Y48" s="607"/>
      <c r="Z48" s="529" t="s">
        <v>134</v>
      </c>
      <c r="AA48" s="529"/>
      <c r="AB48" s="527"/>
      <c r="AC48" s="516"/>
    </row>
    <row r="49" spans="1:29" ht="12" customHeight="1">
      <c r="A49" s="607"/>
      <c r="B49" s="167"/>
      <c r="C49" s="167"/>
      <c r="D49" s="167"/>
      <c r="E49" s="169"/>
      <c r="J49" s="528" t="s">
        <v>286</v>
      </c>
      <c r="K49" s="529"/>
      <c r="L49" s="529"/>
      <c r="M49" s="530"/>
      <c r="Q49" s="607"/>
      <c r="R49" s="529" t="s">
        <v>287</v>
      </c>
      <c r="S49" s="529"/>
      <c r="T49" s="529"/>
      <c r="U49" s="530"/>
      <c r="Y49" s="607"/>
      <c r="Z49" s="167"/>
      <c r="AA49" s="167"/>
      <c r="AB49" s="167"/>
      <c r="AC49" s="169"/>
    </row>
    <row r="50" spans="1:29" ht="12" customHeight="1">
      <c r="A50" s="607"/>
      <c r="B50" s="167"/>
      <c r="C50" s="167"/>
      <c r="D50" s="167"/>
      <c r="E50" s="169"/>
      <c r="J50" s="166"/>
      <c r="K50" s="167"/>
      <c r="L50" s="167"/>
      <c r="M50" s="169"/>
      <c r="Q50" s="607"/>
      <c r="R50" s="167"/>
      <c r="S50" s="167"/>
      <c r="T50" s="167"/>
      <c r="U50" s="169"/>
      <c r="Y50" s="607"/>
      <c r="Z50" s="167"/>
      <c r="AA50" s="167"/>
      <c r="AB50" s="167"/>
      <c r="AC50" s="169"/>
    </row>
    <row r="51" spans="1:29" ht="12" customHeight="1" thickBot="1">
      <c r="A51" s="608"/>
      <c r="B51" s="171"/>
      <c r="C51" s="167"/>
      <c r="D51" s="167"/>
      <c r="E51" s="172"/>
      <c r="J51" s="170"/>
      <c r="K51" s="167"/>
      <c r="L51" s="167"/>
      <c r="M51" s="172"/>
      <c r="Q51" s="608"/>
      <c r="R51" s="171"/>
      <c r="S51" s="167"/>
      <c r="T51" s="167"/>
      <c r="U51" s="172"/>
      <c r="Y51" s="608"/>
      <c r="Z51" s="171"/>
      <c r="AA51" s="167"/>
      <c r="AB51" s="167"/>
      <c r="AC51" s="172"/>
    </row>
    <row r="52" spans="1:30" ht="12" customHeight="1">
      <c r="A52" s="515" t="s">
        <v>31</v>
      </c>
      <c r="B52" s="530"/>
      <c r="E52" s="515" t="s">
        <v>32</v>
      </c>
      <c r="F52" s="516"/>
      <c r="I52" s="515" t="s">
        <v>33</v>
      </c>
      <c r="J52" s="516"/>
      <c r="M52" s="528" t="s">
        <v>34</v>
      </c>
      <c r="N52" s="516"/>
      <c r="Q52" s="515" t="s">
        <v>35</v>
      </c>
      <c r="R52" s="516"/>
      <c r="U52" s="515" t="s">
        <v>36</v>
      </c>
      <c r="V52" s="516"/>
      <c r="Y52" s="515" t="s">
        <v>37</v>
      </c>
      <c r="Z52" s="516"/>
      <c r="AC52" s="515" t="s">
        <v>38</v>
      </c>
      <c r="AD52" s="516"/>
    </row>
    <row r="53" spans="1:30" ht="12" customHeight="1">
      <c r="A53" s="519" t="str">
        <f>'予選 (3)'!Z71</f>
        <v>石　津</v>
      </c>
      <c r="B53" s="520"/>
      <c r="C53" s="135"/>
      <c r="D53" s="135"/>
      <c r="E53" s="519" t="str">
        <f>'予選 (3)'!Z73</f>
        <v>朱　雀</v>
      </c>
      <c r="F53" s="520"/>
      <c r="G53" s="135"/>
      <c r="H53" s="135"/>
      <c r="I53" s="519" t="str">
        <f>'予選 (3)'!Z75</f>
        <v>滋賀ｾﾝﾄﾗﾙ</v>
      </c>
      <c r="J53" s="520"/>
      <c r="K53" s="135"/>
      <c r="L53" s="135"/>
      <c r="M53" s="519" t="str">
        <f>'予選 (3)'!Z77</f>
        <v>センチュリー</v>
      </c>
      <c r="N53" s="520"/>
      <c r="O53" s="135"/>
      <c r="P53" s="135"/>
      <c r="Q53" s="519" t="str">
        <f>'予選 (3)'!Z79</f>
        <v>金　田</v>
      </c>
      <c r="R53" s="520"/>
      <c r="S53" s="135"/>
      <c r="T53" s="135"/>
      <c r="U53" s="519" t="str">
        <f>'予選 (3)'!Z81</f>
        <v>蔵　持</v>
      </c>
      <c r="V53" s="520"/>
      <c r="W53" s="135"/>
      <c r="X53" s="135"/>
      <c r="Y53" s="519" t="str">
        <f>'予選 (3)'!Z83</f>
        <v>大　原</v>
      </c>
      <c r="Z53" s="520"/>
      <c r="AA53" s="135"/>
      <c r="AB53" s="135"/>
      <c r="AC53" s="519" t="str">
        <f>'予選 (3)'!Z85</f>
        <v>USFC</v>
      </c>
      <c r="AD53" s="520"/>
    </row>
    <row r="54" spans="1:30" ht="13.5" customHeight="1">
      <c r="A54" s="519"/>
      <c r="B54" s="520"/>
      <c r="C54" s="135"/>
      <c r="D54" s="135"/>
      <c r="E54" s="519"/>
      <c r="F54" s="520"/>
      <c r="G54" s="135"/>
      <c r="H54" s="135"/>
      <c r="I54" s="519"/>
      <c r="J54" s="520"/>
      <c r="K54" s="135"/>
      <c r="L54" s="135"/>
      <c r="M54" s="519"/>
      <c r="N54" s="520"/>
      <c r="O54" s="135"/>
      <c r="P54" s="135"/>
      <c r="Q54" s="519"/>
      <c r="R54" s="520"/>
      <c r="S54" s="135"/>
      <c r="T54" s="135"/>
      <c r="U54" s="519"/>
      <c r="V54" s="520"/>
      <c r="W54" s="135"/>
      <c r="X54" s="135"/>
      <c r="Y54" s="519"/>
      <c r="Z54" s="520"/>
      <c r="AA54" s="135"/>
      <c r="AB54" s="135"/>
      <c r="AC54" s="519"/>
      <c r="AD54" s="520"/>
    </row>
    <row r="55" spans="1:30" ht="12" customHeight="1">
      <c r="A55" s="519"/>
      <c r="B55" s="520"/>
      <c r="C55" s="136"/>
      <c r="D55" s="136"/>
      <c r="E55" s="519"/>
      <c r="F55" s="520"/>
      <c r="G55" s="135"/>
      <c r="H55" s="136"/>
      <c r="I55" s="519"/>
      <c r="J55" s="520"/>
      <c r="K55" s="136"/>
      <c r="L55" s="136"/>
      <c r="M55" s="519"/>
      <c r="N55" s="520"/>
      <c r="O55" s="135"/>
      <c r="P55" s="135"/>
      <c r="Q55" s="519"/>
      <c r="R55" s="520"/>
      <c r="S55" s="135"/>
      <c r="T55" s="136"/>
      <c r="U55" s="519"/>
      <c r="V55" s="520"/>
      <c r="W55" s="136"/>
      <c r="X55" s="135"/>
      <c r="Y55" s="519"/>
      <c r="Z55" s="520"/>
      <c r="AA55" s="135"/>
      <c r="AB55" s="136"/>
      <c r="AC55" s="519"/>
      <c r="AD55" s="520"/>
    </row>
    <row r="56" spans="1:30" ht="12" customHeight="1">
      <c r="A56" s="519"/>
      <c r="B56" s="520"/>
      <c r="C56" s="136"/>
      <c r="D56" s="136"/>
      <c r="E56" s="519"/>
      <c r="F56" s="520"/>
      <c r="G56" s="135"/>
      <c r="H56" s="136"/>
      <c r="I56" s="519"/>
      <c r="J56" s="520"/>
      <c r="K56" s="136"/>
      <c r="L56" s="136"/>
      <c r="M56" s="519"/>
      <c r="N56" s="520"/>
      <c r="O56" s="135"/>
      <c r="P56" s="135"/>
      <c r="Q56" s="519"/>
      <c r="R56" s="520"/>
      <c r="S56" s="135"/>
      <c r="T56" s="136"/>
      <c r="U56" s="519"/>
      <c r="V56" s="520"/>
      <c r="W56" s="136"/>
      <c r="X56" s="135"/>
      <c r="Y56" s="519"/>
      <c r="Z56" s="520"/>
      <c r="AA56" s="135"/>
      <c r="AB56" s="136"/>
      <c r="AC56" s="519"/>
      <c r="AD56" s="520"/>
    </row>
    <row r="57" spans="1:30" ht="12" customHeight="1">
      <c r="A57" s="519"/>
      <c r="B57" s="520"/>
      <c r="C57" s="136"/>
      <c r="D57" s="136"/>
      <c r="E57" s="519"/>
      <c r="F57" s="520"/>
      <c r="G57" s="135"/>
      <c r="H57" s="136"/>
      <c r="I57" s="519"/>
      <c r="J57" s="520"/>
      <c r="K57" s="136"/>
      <c r="L57" s="136"/>
      <c r="M57" s="519"/>
      <c r="N57" s="520"/>
      <c r="O57" s="135"/>
      <c r="P57" s="135"/>
      <c r="Q57" s="519"/>
      <c r="R57" s="520"/>
      <c r="S57" s="135"/>
      <c r="T57" s="136"/>
      <c r="U57" s="519"/>
      <c r="V57" s="520"/>
      <c r="W57" s="136"/>
      <c r="X57" s="135"/>
      <c r="Y57" s="519"/>
      <c r="Z57" s="520"/>
      <c r="AA57" s="135"/>
      <c r="AB57" s="136"/>
      <c r="AC57" s="519"/>
      <c r="AD57" s="520"/>
    </row>
    <row r="58" spans="1:30" ht="12" customHeight="1" thickBot="1">
      <c r="A58" s="521"/>
      <c r="B58" s="522"/>
      <c r="C58" s="136"/>
      <c r="D58" s="136"/>
      <c r="E58" s="521"/>
      <c r="F58" s="522"/>
      <c r="G58" s="135"/>
      <c r="H58" s="136"/>
      <c r="I58" s="521"/>
      <c r="J58" s="522"/>
      <c r="K58" s="136"/>
      <c r="L58" s="136"/>
      <c r="M58" s="521"/>
      <c r="N58" s="522"/>
      <c r="O58" s="135"/>
      <c r="P58" s="135"/>
      <c r="Q58" s="521"/>
      <c r="R58" s="522"/>
      <c r="S58" s="135"/>
      <c r="T58" s="136"/>
      <c r="U58" s="521"/>
      <c r="V58" s="522"/>
      <c r="W58" s="136"/>
      <c r="X58" s="135"/>
      <c r="Y58" s="521"/>
      <c r="Z58" s="522"/>
      <c r="AA58" s="135"/>
      <c r="AB58" s="136"/>
      <c r="AC58" s="521"/>
      <c r="AD58" s="522"/>
    </row>
    <row r="59" spans="3:30" ht="12" customHeight="1"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2:30" ht="12" customHeight="1">
      <c r="B60" s="167"/>
      <c r="C60" s="167"/>
      <c r="D60" s="173"/>
      <c r="E60" s="167"/>
      <c r="F60" s="167"/>
      <c r="G60" s="167"/>
      <c r="H60" s="167"/>
      <c r="I60" s="167"/>
      <c r="J60" s="167"/>
      <c r="K60" s="167"/>
      <c r="L60" s="605"/>
      <c r="M60" s="167"/>
      <c r="N60" s="167"/>
      <c r="O60" s="167"/>
      <c r="P60" s="167"/>
      <c r="Q60" s="167"/>
      <c r="R60" s="167"/>
      <c r="S60" s="167"/>
      <c r="T60" s="173"/>
      <c r="U60" s="167"/>
      <c r="V60" s="167"/>
      <c r="W60" s="167"/>
      <c r="X60" s="167"/>
      <c r="Y60" s="167"/>
      <c r="Z60" s="167"/>
      <c r="AA60" s="174"/>
      <c r="AB60" s="167"/>
      <c r="AC60" s="167"/>
      <c r="AD60" s="167"/>
    </row>
    <row r="61" spans="2:30" ht="12" customHeight="1">
      <c r="B61" s="167"/>
      <c r="C61" s="167"/>
      <c r="D61" s="173"/>
      <c r="E61" s="167"/>
      <c r="F61" s="167"/>
      <c r="G61" s="167"/>
      <c r="H61" s="167"/>
      <c r="I61" s="167"/>
      <c r="J61" s="167"/>
      <c r="K61" s="167"/>
      <c r="L61" s="605"/>
      <c r="M61" s="167"/>
      <c r="N61" s="167"/>
      <c r="O61" s="167"/>
      <c r="P61" s="167"/>
      <c r="Q61" s="167"/>
      <c r="R61" s="167"/>
      <c r="S61" s="167"/>
      <c r="T61" s="173"/>
      <c r="U61" s="167"/>
      <c r="V61" s="167"/>
      <c r="W61" s="167"/>
      <c r="X61" s="167"/>
      <c r="Y61" s="167"/>
      <c r="Z61" s="167"/>
      <c r="AA61" s="174"/>
      <c r="AB61" s="167"/>
      <c r="AC61" s="167"/>
      <c r="AD61" s="167"/>
    </row>
    <row r="62" spans="2:30" ht="12" customHeight="1" thickBot="1">
      <c r="B62" s="167"/>
      <c r="C62" s="167"/>
      <c r="D62" s="175"/>
      <c r="E62" s="176"/>
      <c r="F62" s="531" t="s">
        <v>136</v>
      </c>
      <c r="G62" s="531"/>
      <c r="H62" s="529"/>
      <c r="I62" s="529"/>
      <c r="J62" s="167"/>
      <c r="K62" s="167"/>
      <c r="L62" s="605"/>
      <c r="M62" s="167"/>
      <c r="N62" s="167"/>
      <c r="O62" s="167"/>
      <c r="P62" s="167"/>
      <c r="Q62" s="167"/>
      <c r="R62" s="167"/>
      <c r="S62" s="167"/>
      <c r="T62" s="175"/>
      <c r="U62" s="176"/>
      <c r="V62" s="531" t="s">
        <v>138</v>
      </c>
      <c r="W62" s="531"/>
      <c r="X62" s="531"/>
      <c r="Y62" s="531"/>
      <c r="Z62" s="176"/>
      <c r="AA62" s="177"/>
      <c r="AB62" s="167"/>
      <c r="AC62" s="167"/>
      <c r="AD62" s="167"/>
    </row>
    <row r="63" spans="2:31" ht="12" customHeight="1">
      <c r="B63" s="167"/>
      <c r="C63" s="167"/>
      <c r="D63" s="621">
        <v>0</v>
      </c>
      <c r="E63" s="167"/>
      <c r="F63" s="167"/>
      <c r="G63" s="167"/>
      <c r="H63" s="604"/>
      <c r="I63" s="604"/>
      <c r="J63" s="604"/>
      <c r="K63" s="620">
        <v>2</v>
      </c>
      <c r="L63" s="167"/>
      <c r="M63" s="167"/>
      <c r="N63" s="167"/>
      <c r="O63" s="167"/>
      <c r="P63" s="167"/>
      <c r="Q63" s="167"/>
      <c r="R63" s="167"/>
      <c r="S63" s="167"/>
      <c r="T63" s="621">
        <v>0</v>
      </c>
      <c r="U63" s="167"/>
      <c r="V63" s="167"/>
      <c r="W63" s="167"/>
      <c r="X63" s="167"/>
      <c r="Y63" s="167"/>
      <c r="Z63" s="167"/>
      <c r="AA63" s="621">
        <v>0</v>
      </c>
      <c r="AB63" s="167"/>
      <c r="AC63" s="167"/>
      <c r="AD63" s="167"/>
      <c r="AE63" s="167"/>
    </row>
    <row r="64" spans="2:31" ht="12" customHeight="1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</row>
    <row r="65" spans="2:31" ht="12" customHeight="1"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</row>
    <row r="66" spans="2:31" ht="12" customHeight="1"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</row>
  </sheetData>
  <sheetProtection selectLockedCells="1"/>
  <mergeCells count="63">
    <mergeCell ref="AC53:AD58"/>
    <mergeCell ref="AC19:AD24"/>
    <mergeCell ref="V28:Y28"/>
    <mergeCell ref="U19:V24"/>
    <mergeCell ref="AC52:AD52"/>
    <mergeCell ref="Z48:AC48"/>
    <mergeCell ref="Y52:Z52"/>
    <mergeCell ref="Y53:Z58"/>
    <mergeCell ref="I37:V39"/>
    <mergeCell ref="M19:N24"/>
    <mergeCell ref="F28:I28"/>
    <mergeCell ref="Q53:R58"/>
    <mergeCell ref="U53:V58"/>
    <mergeCell ref="R48:U48"/>
    <mergeCell ref="J48:M48"/>
    <mergeCell ref="N44:Q44"/>
    <mergeCell ref="J49:M49"/>
    <mergeCell ref="R49:U49"/>
    <mergeCell ref="B48:E48"/>
    <mergeCell ref="A37:G37"/>
    <mergeCell ref="A52:B52"/>
    <mergeCell ref="M53:N58"/>
    <mergeCell ref="E52:F52"/>
    <mergeCell ref="I52:J52"/>
    <mergeCell ref="E53:F58"/>
    <mergeCell ref="M52:N52"/>
    <mergeCell ref="N42:Q42"/>
    <mergeCell ref="A38:G38"/>
    <mergeCell ref="V62:Y62"/>
    <mergeCell ref="I53:J58"/>
    <mergeCell ref="Q52:R52"/>
    <mergeCell ref="F45:I45"/>
    <mergeCell ref="F62:I62"/>
    <mergeCell ref="U52:V52"/>
    <mergeCell ref="A53:B58"/>
    <mergeCell ref="Q19:R24"/>
    <mergeCell ref="I19:J24"/>
    <mergeCell ref="J14:M14"/>
    <mergeCell ref="E18:F18"/>
    <mergeCell ref="A18:B18"/>
    <mergeCell ref="M18:N18"/>
    <mergeCell ref="I18:J18"/>
    <mergeCell ref="A19:B24"/>
    <mergeCell ref="E19:F24"/>
    <mergeCell ref="Y18:Z18"/>
    <mergeCell ref="Z14:AC14"/>
    <mergeCell ref="AC18:AD18"/>
    <mergeCell ref="V45:Y45"/>
    <mergeCell ref="R14:U14"/>
    <mergeCell ref="U18:V18"/>
    <mergeCell ref="Y19:Z24"/>
    <mergeCell ref="A33:AE34"/>
    <mergeCell ref="Q18:R18"/>
    <mergeCell ref="B14:E14"/>
    <mergeCell ref="Q1:AD1"/>
    <mergeCell ref="F11:I11"/>
    <mergeCell ref="A3:G3"/>
    <mergeCell ref="A4:G4"/>
    <mergeCell ref="V11:Y11"/>
    <mergeCell ref="I3:V5"/>
    <mergeCell ref="N8:Q8"/>
    <mergeCell ref="N10:Q10"/>
    <mergeCell ref="N11:Q11"/>
  </mergeCells>
  <printOptions/>
  <pageMargins left="0.7874015748031497" right="0.7874015748031497" top="0.6692913385826772" bottom="0.6299212598425197" header="0.5118110236220472" footer="0.31496062992125984"/>
  <pageSetup firstPageNumber="6" useFirstPageNumber="1" horizontalDpi="300" verticalDpi="300" orientation="portrait" paperSize="9" scale="99" r:id="rId1"/>
  <headerFooter alignWithMargins="0">
    <oddFooter>&amp;C&amp;[９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SheetLayoutView="100" zoomScalePageLayoutView="0" workbookViewId="0" topLeftCell="A1">
      <selection activeCell="X60" sqref="X60"/>
    </sheetView>
  </sheetViews>
  <sheetFormatPr defaultColWidth="2.75390625" defaultRowHeight="12" customHeight="1"/>
  <cols>
    <col min="1" max="16384" width="2.75390625" style="165" customWidth="1"/>
  </cols>
  <sheetData>
    <row r="1" spans="1:31" ht="18" customHeight="1">
      <c r="A1" s="181" t="str">
        <f>'2日目トーナメント'!A1</f>
        <v>二日目　順位トーナメント（８月６日）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64"/>
      <c r="N1" s="164"/>
      <c r="O1" s="164"/>
      <c r="P1" s="164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167"/>
    </row>
    <row r="2" ht="18" customHeight="1" thickBot="1"/>
    <row r="3" spans="1:22" ht="13.5" customHeight="1">
      <c r="A3" s="532" t="s">
        <v>14</v>
      </c>
      <c r="B3" s="532"/>
      <c r="C3" s="532"/>
      <c r="D3" s="532"/>
      <c r="E3" s="532"/>
      <c r="F3" s="532"/>
      <c r="G3" s="532"/>
      <c r="I3" s="626" t="s">
        <v>290</v>
      </c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8"/>
    </row>
    <row r="4" spans="1:22" ht="13.5" customHeight="1">
      <c r="A4" s="557" t="s">
        <v>195</v>
      </c>
      <c r="B4" s="557"/>
      <c r="C4" s="557"/>
      <c r="D4" s="557"/>
      <c r="E4" s="557"/>
      <c r="F4" s="557"/>
      <c r="G4" s="557"/>
      <c r="I4" s="629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1"/>
    </row>
    <row r="5" spans="9:22" ht="12" customHeight="1" thickBot="1">
      <c r="I5" s="632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4"/>
    </row>
    <row r="6" spans="5:23" ht="12" customHeight="1">
      <c r="E6" s="167"/>
      <c r="F6" s="167"/>
      <c r="G6" s="167"/>
      <c r="H6" s="167"/>
      <c r="P6" s="599"/>
      <c r="Q6" s="167"/>
      <c r="R6" s="167"/>
      <c r="S6" s="167"/>
      <c r="T6" s="167"/>
      <c r="U6" s="167"/>
      <c r="V6" s="167"/>
      <c r="W6" s="167"/>
    </row>
    <row r="7" spans="5:23" ht="12" customHeight="1" thickBot="1">
      <c r="E7" s="167"/>
      <c r="F7" s="167"/>
      <c r="G7" s="167"/>
      <c r="H7" s="621">
        <v>0</v>
      </c>
      <c r="I7" s="167"/>
      <c r="J7" s="167"/>
      <c r="K7" s="167"/>
      <c r="L7" s="167"/>
      <c r="P7" s="602"/>
      <c r="Q7" s="603"/>
      <c r="R7" s="603"/>
      <c r="S7" s="603"/>
      <c r="T7" s="603"/>
      <c r="U7" s="603"/>
      <c r="V7" s="603"/>
      <c r="W7" s="618">
        <v>1</v>
      </c>
    </row>
    <row r="8" spans="5:29" ht="12" customHeight="1" thickTop="1">
      <c r="E8" s="167"/>
      <c r="F8" s="167"/>
      <c r="G8" s="167"/>
      <c r="H8" s="601"/>
      <c r="I8" s="168"/>
      <c r="J8" s="168"/>
      <c r="K8" s="168"/>
      <c r="L8" s="168"/>
      <c r="M8" s="168"/>
      <c r="N8" s="527" t="s">
        <v>140</v>
      </c>
      <c r="O8" s="527"/>
      <c r="P8" s="529"/>
      <c r="Q8" s="529"/>
      <c r="R8" s="167"/>
      <c r="S8" s="167"/>
      <c r="T8" s="167"/>
      <c r="U8" s="167"/>
      <c r="V8" s="167"/>
      <c r="W8" s="167"/>
      <c r="X8" s="599"/>
      <c r="Y8" s="167"/>
      <c r="Z8" s="167"/>
      <c r="AA8" s="167"/>
      <c r="AC8" s="167"/>
    </row>
    <row r="9" spans="5:27" ht="12" customHeight="1">
      <c r="E9" s="167"/>
      <c r="F9" s="167"/>
      <c r="G9" s="167"/>
      <c r="H9" s="599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599"/>
      <c r="Y9" s="167"/>
      <c r="Z9" s="167"/>
      <c r="AA9" s="167"/>
    </row>
    <row r="10" spans="4:27" ht="12" customHeight="1" thickBot="1">
      <c r="D10" s="622">
        <v>0</v>
      </c>
      <c r="H10" s="646"/>
      <c r="I10" s="612"/>
      <c r="J10" s="235"/>
      <c r="K10" s="641">
        <v>2</v>
      </c>
      <c r="L10" s="235"/>
      <c r="M10" s="235"/>
      <c r="N10" s="548" t="s">
        <v>139</v>
      </c>
      <c r="O10" s="548"/>
      <c r="P10" s="548"/>
      <c r="Q10" s="548"/>
      <c r="R10" s="235"/>
      <c r="S10" s="235"/>
      <c r="T10" s="640">
        <v>0</v>
      </c>
      <c r="U10" s="234"/>
      <c r="V10" s="234"/>
      <c r="W10" s="234"/>
      <c r="X10" s="602"/>
      <c r="Y10" s="603"/>
      <c r="Z10" s="603"/>
      <c r="AA10" s="618">
        <v>5</v>
      </c>
    </row>
    <row r="11" spans="4:27" ht="12" customHeight="1" thickTop="1">
      <c r="D11" s="601"/>
      <c r="E11" s="168"/>
      <c r="F11" s="527" t="s">
        <v>135</v>
      </c>
      <c r="G11" s="527"/>
      <c r="H11" s="529"/>
      <c r="I11" s="529"/>
      <c r="J11" s="610"/>
      <c r="K11" s="611"/>
      <c r="L11" s="167"/>
      <c r="M11" s="167"/>
      <c r="N11" s="624" t="s">
        <v>289</v>
      </c>
      <c r="O11" s="624"/>
      <c r="P11" s="624"/>
      <c r="Q11" s="624"/>
      <c r="R11" s="167"/>
      <c r="S11" s="167"/>
      <c r="T11" s="601"/>
      <c r="U11" s="168"/>
      <c r="V11" s="527" t="s">
        <v>137</v>
      </c>
      <c r="W11" s="527"/>
      <c r="X11" s="529"/>
      <c r="Y11" s="529"/>
      <c r="Z11" s="610"/>
      <c r="AA11" s="611"/>
    </row>
    <row r="12" spans="2:27" ht="12" customHeight="1">
      <c r="B12" s="167"/>
      <c r="C12" s="167"/>
      <c r="D12" s="599"/>
      <c r="E12" s="167"/>
      <c r="F12" s="167"/>
      <c r="G12" s="167"/>
      <c r="H12" s="167"/>
      <c r="I12" s="167"/>
      <c r="J12" s="167"/>
      <c r="K12" s="607"/>
      <c r="O12" s="167"/>
      <c r="P12" s="167"/>
      <c r="R12" s="167"/>
      <c r="S12" s="167"/>
      <c r="T12" s="599"/>
      <c r="U12" s="167"/>
      <c r="V12" s="167"/>
      <c r="W12" s="167"/>
      <c r="X12" s="167"/>
      <c r="Y12" s="167"/>
      <c r="Z12" s="167"/>
      <c r="AA12" s="607"/>
    </row>
    <row r="13" spans="2:30" ht="12" customHeight="1" thickBot="1">
      <c r="B13" s="615">
        <v>0</v>
      </c>
      <c r="C13" s="171"/>
      <c r="D13" s="602"/>
      <c r="E13" s="618">
        <v>1</v>
      </c>
      <c r="F13" s="167"/>
      <c r="G13" s="167"/>
      <c r="H13" s="167"/>
      <c r="I13" s="167"/>
      <c r="J13" s="618">
        <v>3</v>
      </c>
      <c r="K13" s="609"/>
      <c r="M13" s="622">
        <v>0</v>
      </c>
      <c r="O13" s="167"/>
      <c r="P13" s="167"/>
      <c r="R13" s="621">
        <v>0</v>
      </c>
      <c r="S13" s="167"/>
      <c r="T13" s="602"/>
      <c r="U13" s="618">
        <v>2</v>
      </c>
      <c r="V13" s="167"/>
      <c r="W13" s="167"/>
      <c r="X13" s="167"/>
      <c r="Y13" s="167"/>
      <c r="Z13" s="618">
        <v>8</v>
      </c>
      <c r="AA13" s="609"/>
      <c r="AC13" s="622">
        <v>0</v>
      </c>
      <c r="AD13" s="167"/>
    </row>
    <row r="14" spans="2:29" ht="12" customHeight="1">
      <c r="B14" s="515" t="s">
        <v>132</v>
      </c>
      <c r="C14" s="527"/>
      <c r="D14" s="528"/>
      <c r="E14" s="529"/>
      <c r="F14" s="599"/>
      <c r="I14" s="607"/>
      <c r="J14" s="529" t="s">
        <v>131</v>
      </c>
      <c r="K14" s="529"/>
      <c r="L14" s="527"/>
      <c r="M14" s="516"/>
      <c r="O14" s="167"/>
      <c r="P14" s="167"/>
      <c r="R14" s="515" t="s">
        <v>133</v>
      </c>
      <c r="S14" s="527"/>
      <c r="T14" s="529"/>
      <c r="U14" s="529"/>
      <c r="V14" s="599"/>
      <c r="Y14" s="607"/>
      <c r="Z14" s="529" t="s">
        <v>134</v>
      </c>
      <c r="AA14" s="529"/>
      <c r="AB14" s="527"/>
      <c r="AC14" s="516"/>
    </row>
    <row r="15" spans="2:29" ht="12" customHeight="1">
      <c r="B15" s="166"/>
      <c r="C15" s="167"/>
      <c r="D15" s="167"/>
      <c r="E15" s="167"/>
      <c r="F15" s="599"/>
      <c r="I15" s="607"/>
      <c r="J15" s="167"/>
      <c r="K15" s="167"/>
      <c r="L15" s="167"/>
      <c r="M15" s="169"/>
      <c r="O15" s="167"/>
      <c r="P15" s="167"/>
      <c r="R15" s="166"/>
      <c r="S15" s="167"/>
      <c r="T15" s="167"/>
      <c r="U15" s="167"/>
      <c r="V15" s="599"/>
      <c r="Y15" s="607"/>
      <c r="Z15" s="167"/>
      <c r="AA15" s="167"/>
      <c r="AB15" s="167"/>
      <c r="AC15" s="169"/>
    </row>
    <row r="16" spans="2:29" ht="12" customHeight="1">
      <c r="B16" s="166"/>
      <c r="C16" s="167"/>
      <c r="D16" s="167"/>
      <c r="E16" s="167"/>
      <c r="F16" s="599"/>
      <c r="I16" s="645"/>
      <c r="J16" s="167"/>
      <c r="K16" s="167"/>
      <c r="L16" s="167"/>
      <c r="M16" s="169"/>
      <c r="R16" s="166"/>
      <c r="S16" s="167"/>
      <c r="T16" s="167"/>
      <c r="U16" s="167"/>
      <c r="V16" s="599"/>
      <c r="Y16" s="607"/>
      <c r="Z16" s="167"/>
      <c r="AA16" s="167"/>
      <c r="AB16" s="167"/>
      <c r="AC16" s="169"/>
    </row>
    <row r="17" spans="2:29" ht="12" customHeight="1" thickBot="1">
      <c r="B17" s="170"/>
      <c r="C17" s="167"/>
      <c r="D17" s="167"/>
      <c r="E17" s="171"/>
      <c r="F17" s="600"/>
      <c r="I17" s="608"/>
      <c r="J17" s="171"/>
      <c r="K17" s="167"/>
      <c r="L17" s="167"/>
      <c r="M17" s="172"/>
      <c r="R17" s="170"/>
      <c r="S17" s="167"/>
      <c r="T17" s="167"/>
      <c r="U17" s="171"/>
      <c r="V17" s="600"/>
      <c r="Y17" s="608"/>
      <c r="Z17" s="171"/>
      <c r="AA17" s="167"/>
      <c r="AB17" s="167"/>
      <c r="AC17" s="172"/>
    </row>
    <row r="18" spans="1:30" ht="12" customHeight="1">
      <c r="A18" s="517" t="s">
        <v>39</v>
      </c>
      <c r="B18" s="540"/>
      <c r="C18" s="162"/>
      <c r="D18" s="162"/>
      <c r="E18" s="517" t="s">
        <v>40</v>
      </c>
      <c r="F18" s="518"/>
      <c r="G18" s="162"/>
      <c r="H18" s="162"/>
      <c r="I18" s="517" t="s">
        <v>41</v>
      </c>
      <c r="J18" s="518"/>
      <c r="K18" s="162"/>
      <c r="L18" s="162"/>
      <c r="M18" s="533" t="s">
        <v>42</v>
      </c>
      <c r="N18" s="518"/>
      <c r="O18" s="162"/>
      <c r="P18" s="162"/>
      <c r="Q18" s="517" t="s">
        <v>43</v>
      </c>
      <c r="R18" s="518"/>
      <c r="S18" s="162"/>
      <c r="T18" s="162"/>
      <c r="U18" s="517" t="s">
        <v>44</v>
      </c>
      <c r="V18" s="518"/>
      <c r="W18" s="162"/>
      <c r="X18" s="162"/>
      <c r="Y18" s="517" t="s">
        <v>45</v>
      </c>
      <c r="Z18" s="518"/>
      <c r="AA18" s="162"/>
      <c r="AB18" s="162"/>
      <c r="AC18" s="517" t="s">
        <v>46</v>
      </c>
      <c r="AD18" s="518"/>
    </row>
    <row r="19" spans="1:30" ht="12" customHeight="1">
      <c r="A19" s="519" t="str">
        <f>'予選 (3)'!AF71</f>
        <v>白　鷺</v>
      </c>
      <c r="B19" s="520"/>
      <c r="C19" s="135"/>
      <c r="D19" s="135"/>
      <c r="E19" s="519" t="str">
        <f>'予選 (3)'!AF73</f>
        <v>鳥　見</v>
      </c>
      <c r="F19" s="520"/>
      <c r="G19" s="135"/>
      <c r="H19" s="135"/>
      <c r="I19" s="519" t="str">
        <f>'予選 (3)'!AF75</f>
        <v>柏原キッズ</v>
      </c>
      <c r="J19" s="520"/>
      <c r="K19" s="135"/>
      <c r="L19" s="135"/>
      <c r="M19" s="519" t="str">
        <f>'予選 (3)'!AF77</f>
        <v>富　雄</v>
      </c>
      <c r="N19" s="520"/>
      <c r="O19" s="135"/>
      <c r="P19" s="135"/>
      <c r="Q19" s="519" t="str">
        <f>'予選 (3)'!AF79</f>
        <v>ディスパーロ</v>
      </c>
      <c r="R19" s="520"/>
      <c r="S19" s="135"/>
      <c r="T19" s="135"/>
      <c r="U19" s="519" t="str">
        <f>'予選 (3)'!AF81</f>
        <v>奈良伏見</v>
      </c>
      <c r="V19" s="520"/>
      <c r="W19" s="135"/>
      <c r="X19" s="135"/>
      <c r="Y19" s="519" t="str">
        <f>'予選 (3)'!AF83</f>
        <v>六　条</v>
      </c>
      <c r="Z19" s="520"/>
      <c r="AA19" s="135"/>
      <c r="AB19" s="135"/>
      <c r="AC19" s="519" t="str">
        <f>'予選 (3)'!AF85</f>
        <v>あやめ池</v>
      </c>
      <c r="AD19" s="520"/>
    </row>
    <row r="20" spans="1:30" ht="12" customHeight="1">
      <c r="A20" s="519"/>
      <c r="B20" s="520"/>
      <c r="C20" s="135"/>
      <c r="D20" s="135"/>
      <c r="E20" s="519"/>
      <c r="F20" s="520"/>
      <c r="G20" s="135"/>
      <c r="H20" s="135"/>
      <c r="I20" s="519"/>
      <c r="J20" s="520"/>
      <c r="K20" s="135"/>
      <c r="L20" s="135"/>
      <c r="M20" s="519"/>
      <c r="N20" s="520"/>
      <c r="O20" s="135"/>
      <c r="P20" s="135"/>
      <c r="Q20" s="519"/>
      <c r="R20" s="520"/>
      <c r="S20" s="135"/>
      <c r="T20" s="135"/>
      <c r="U20" s="519"/>
      <c r="V20" s="520"/>
      <c r="W20" s="135"/>
      <c r="X20" s="135"/>
      <c r="Y20" s="519"/>
      <c r="Z20" s="520"/>
      <c r="AA20" s="135"/>
      <c r="AB20" s="135"/>
      <c r="AC20" s="519"/>
      <c r="AD20" s="520"/>
    </row>
    <row r="21" spans="1:30" ht="12" customHeight="1">
      <c r="A21" s="519"/>
      <c r="B21" s="520"/>
      <c r="C21" s="136"/>
      <c r="D21" s="136"/>
      <c r="E21" s="519"/>
      <c r="F21" s="520"/>
      <c r="G21" s="135"/>
      <c r="H21" s="136"/>
      <c r="I21" s="519"/>
      <c r="J21" s="520"/>
      <c r="K21" s="136"/>
      <c r="L21" s="136"/>
      <c r="M21" s="519"/>
      <c r="N21" s="520"/>
      <c r="O21" s="135"/>
      <c r="P21" s="135"/>
      <c r="Q21" s="519"/>
      <c r="R21" s="520"/>
      <c r="S21" s="135"/>
      <c r="T21" s="136"/>
      <c r="U21" s="519"/>
      <c r="V21" s="520"/>
      <c r="W21" s="136"/>
      <c r="X21" s="135"/>
      <c r="Y21" s="519"/>
      <c r="Z21" s="520"/>
      <c r="AA21" s="135"/>
      <c r="AB21" s="136"/>
      <c r="AC21" s="519"/>
      <c r="AD21" s="520"/>
    </row>
    <row r="22" spans="1:30" ht="12" customHeight="1">
      <c r="A22" s="519"/>
      <c r="B22" s="520"/>
      <c r="C22" s="136"/>
      <c r="D22" s="136"/>
      <c r="E22" s="519"/>
      <c r="F22" s="520"/>
      <c r="G22" s="135"/>
      <c r="H22" s="136"/>
      <c r="I22" s="519"/>
      <c r="J22" s="520"/>
      <c r="K22" s="136"/>
      <c r="L22" s="136"/>
      <c r="M22" s="519"/>
      <c r="N22" s="520"/>
      <c r="O22" s="135"/>
      <c r="P22" s="135"/>
      <c r="Q22" s="519"/>
      <c r="R22" s="520"/>
      <c r="S22" s="135"/>
      <c r="T22" s="136"/>
      <c r="U22" s="519"/>
      <c r="V22" s="520"/>
      <c r="W22" s="136"/>
      <c r="X22" s="135"/>
      <c r="Y22" s="519"/>
      <c r="Z22" s="520"/>
      <c r="AA22" s="135"/>
      <c r="AB22" s="136"/>
      <c r="AC22" s="519"/>
      <c r="AD22" s="520"/>
    </row>
    <row r="23" spans="1:30" ht="12" customHeight="1">
      <c r="A23" s="519"/>
      <c r="B23" s="520"/>
      <c r="C23" s="136"/>
      <c r="D23" s="136"/>
      <c r="E23" s="519"/>
      <c r="F23" s="520"/>
      <c r="G23" s="135"/>
      <c r="H23" s="136"/>
      <c r="I23" s="519"/>
      <c r="J23" s="520"/>
      <c r="K23" s="136"/>
      <c r="L23" s="136"/>
      <c r="M23" s="519"/>
      <c r="N23" s="520"/>
      <c r="O23" s="135"/>
      <c r="P23" s="135"/>
      <c r="Q23" s="519"/>
      <c r="R23" s="520"/>
      <c r="S23" s="135"/>
      <c r="T23" s="136"/>
      <c r="U23" s="519"/>
      <c r="V23" s="520"/>
      <c r="W23" s="136"/>
      <c r="X23" s="135"/>
      <c r="Y23" s="519"/>
      <c r="Z23" s="520"/>
      <c r="AA23" s="135"/>
      <c r="AB23" s="136"/>
      <c r="AC23" s="519"/>
      <c r="AD23" s="520"/>
    </row>
    <row r="24" spans="1:30" ht="12" customHeight="1" thickBot="1">
      <c r="A24" s="521"/>
      <c r="B24" s="522"/>
      <c r="C24" s="136"/>
      <c r="D24" s="136"/>
      <c r="E24" s="521"/>
      <c r="F24" s="522"/>
      <c r="G24" s="135"/>
      <c r="H24" s="136"/>
      <c r="I24" s="521"/>
      <c r="J24" s="522"/>
      <c r="K24" s="136"/>
      <c r="L24" s="136"/>
      <c r="M24" s="521"/>
      <c r="N24" s="522"/>
      <c r="O24" s="135"/>
      <c r="P24" s="135"/>
      <c r="Q24" s="521"/>
      <c r="R24" s="522"/>
      <c r="S24" s="135"/>
      <c r="T24" s="136"/>
      <c r="U24" s="521"/>
      <c r="V24" s="522"/>
      <c r="W24" s="136"/>
      <c r="X24" s="135"/>
      <c r="Y24" s="521"/>
      <c r="Z24" s="522"/>
      <c r="AA24" s="135"/>
      <c r="AB24" s="136"/>
      <c r="AC24" s="521"/>
      <c r="AD24" s="522"/>
    </row>
    <row r="25" spans="3:30" ht="12" customHeight="1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2:30" ht="12" customHeight="1">
      <c r="B26" s="167"/>
      <c r="C26" s="167"/>
      <c r="D26" s="173"/>
      <c r="E26" s="167"/>
      <c r="F26" s="167"/>
      <c r="G26" s="167"/>
      <c r="H26" s="167"/>
      <c r="I26" s="167"/>
      <c r="J26" s="167"/>
      <c r="K26" s="167"/>
      <c r="L26" s="605"/>
      <c r="M26" s="167"/>
      <c r="N26" s="167"/>
      <c r="O26" s="167"/>
      <c r="P26" s="167"/>
      <c r="Q26" s="167"/>
      <c r="R26" s="167"/>
      <c r="S26" s="643"/>
      <c r="T26" s="167"/>
      <c r="U26" s="167"/>
      <c r="V26" s="167"/>
      <c r="W26" s="167"/>
      <c r="X26" s="167"/>
      <c r="Y26" s="167"/>
      <c r="Z26" s="167"/>
      <c r="AA26" s="174"/>
      <c r="AB26" s="167"/>
      <c r="AC26" s="167"/>
      <c r="AD26" s="167"/>
    </row>
    <row r="27" spans="2:30" ht="12" customHeight="1">
      <c r="B27" s="167"/>
      <c r="C27" s="167"/>
      <c r="D27" s="173"/>
      <c r="E27" s="167"/>
      <c r="F27" s="167"/>
      <c r="G27" s="167"/>
      <c r="H27" s="167"/>
      <c r="I27" s="167"/>
      <c r="J27" s="167"/>
      <c r="K27" s="167"/>
      <c r="L27" s="605"/>
      <c r="M27" s="167"/>
      <c r="N27" s="167"/>
      <c r="O27" s="167"/>
      <c r="P27" s="167"/>
      <c r="Q27" s="167"/>
      <c r="R27" s="167"/>
      <c r="S27" s="643"/>
      <c r="T27" s="167"/>
      <c r="U27" s="167"/>
      <c r="V27" s="167"/>
      <c r="W27" s="167"/>
      <c r="X27" s="167"/>
      <c r="Y27" s="167"/>
      <c r="Z27" s="167"/>
      <c r="AA27" s="174"/>
      <c r="AB27" s="167"/>
      <c r="AC27" s="167"/>
      <c r="AD27" s="167"/>
    </row>
    <row r="28" spans="2:30" ht="12" customHeight="1" thickBot="1">
      <c r="B28" s="167"/>
      <c r="C28" s="167"/>
      <c r="D28" s="175"/>
      <c r="E28" s="176"/>
      <c r="F28" s="531" t="s">
        <v>136</v>
      </c>
      <c r="G28" s="531"/>
      <c r="H28" s="647"/>
      <c r="I28" s="648"/>
      <c r="J28" s="167"/>
      <c r="K28" s="167"/>
      <c r="L28" s="605"/>
      <c r="M28" s="167"/>
      <c r="N28" s="167"/>
      <c r="O28" s="167"/>
      <c r="P28" s="167"/>
      <c r="Q28" s="167"/>
      <c r="R28" s="167"/>
      <c r="S28" s="643"/>
      <c r="T28" s="167"/>
      <c r="U28" s="167"/>
      <c r="V28" s="529" t="s">
        <v>138</v>
      </c>
      <c r="W28" s="529"/>
      <c r="X28" s="531"/>
      <c r="Y28" s="531"/>
      <c r="Z28" s="176"/>
      <c r="AA28" s="177"/>
      <c r="AB28" s="167"/>
      <c r="AC28" s="167"/>
      <c r="AD28" s="167"/>
    </row>
    <row r="29" spans="2:30" ht="12" customHeight="1">
      <c r="B29" s="167"/>
      <c r="C29" s="167"/>
      <c r="D29" s="621">
        <v>1</v>
      </c>
      <c r="E29" s="167"/>
      <c r="F29" s="148"/>
      <c r="G29" s="148"/>
      <c r="H29" s="649"/>
      <c r="I29" s="649"/>
      <c r="J29" s="604"/>
      <c r="K29" s="620">
        <v>2</v>
      </c>
      <c r="L29" s="167"/>
      <c r="M29" s="167"/>
      <c r="N29" s="167"/>
      <c r="O29" s="167"/>
      <c r="P29" s="167"/>
      <c r="Q29" s="167"/>
      <c r="R29" s="167"/>
      <c r="S29" s="167"/>
      <c r="T29" s="620">
        <v>7</v>
      </c>
      <c r="U29" s="604"/>
      <c r="V29" s="604"/>
      <c r="W29" s="649"/>
      <c r="X29" s="148"/>
      <c r="Y29" s="148"/>
      <c r="Z29" s="167"/>
      <c r="AA29" s="621">
        <v>0</v>
      </c>
      <c r="AB29" s="167"/>
      <c r="AC29" s="167"/>
      <c r="AD29" s="167"/>
    </row>
    <row r="30" spans="2:30" ht="12" customHeight="1">
      <c r="B30" s="167"/>
      <c r="C30" s="167"/>
      <c r="D30" s="167"/>
      <c r="E30" s="167"/>
      <c r="F30" s="148"/>
      <c r="G30" s="148"/>
      <c r="H30" s="148"/>
      <c r="I30" s="148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48"/>
      <c r="X30" s="148"/>
      <c r="Y30" s="148"/>
      <c r="Z30" s="167"/>
      <c r="AA30" s="167"/>
      <c r="AB30" s="167"/>
      <c r="AC30" s="167"/>
      <c r="AD30" s="167"/>
    </row>
    <row r="31" spans="2:30" ht="12" customHeight="1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</row>
    <row r="32" spans="2:30" ht="12" customHeigh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</row>
    <row r="33" spans="1:31" ht="16.5" customHeight="1">
      <c r="A33" s="541" t="s">
        <v>141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3"/>
      <c r="O33" s="543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4"/>
    </row>
    <row r="34" spans="1:31" ht="16.5" customHeight="1">
      <c r="A34" s="545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6"/>
      <c r="AC34" s="546"/>
      <c r="AD34" s="546"/>
      <c r="AE34" s="547"/>
    </row>
    <row r="35" spans="2:30" ht="12.75" customHeigh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</row>
    <row r="36" spans="2:28" ht="12.75" customHeight="1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ht="12" customHeight="1" thickBot="1"/>
    <row r="38" spans="1:22" ht="13.5" customHeight="1">
      <c r="A38" s="557" t="s">
        <v>15</v>
      </c>
      <c r="B38" s="557"/>
      <c r="C38" s="557"/>
      <c r="D38" s="557"/>
      <c r="E38" s="557"/>
      <c r="F38" s="557"/>
      <c r="G38" s="557"/>
      <c r="I38" s="626" t="s">
        <v>294</v>
      </c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  <c r="U38" s="627"/>
      <c r="V38" s="628"/>
    </row>
    <row r="39" spans="1:22" ht="13.5" customHeight="1">
      <c r="A39" s="557" t="s">
        <v>196</v>
      </c>
      <c r="B39" s="557"/>
      <c r="C39" s="557"/>
      <c r="D39" s="557"/>
      <c r="E39" s="557"/>
      <c r="F39" s="557"/>
      <c r="G39" s="557"/>
      <c r="I39" s="629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T39" s="630"/>
      <c r="U39" s="630"/>
      <c r="V39" s="631"/>
    </row>
    <row r="40" spans="9:22" ht="12" customHeight="1" thickBot="1">
      <c r="I40" s="632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4"/>
    </row>
    <row r="41" spans="16:23" ht="12" customHeight="1">
      <c r="P41" s="599"/>
      <c r="Q41" s="167"/>
      <c r="R41" s="167"/>
      <c r="S41" s="167"/>
      <c r="T41" s="167"/>
      <c r="U41" s="167"/>
      <c r="V41" s="167"/>
      <c r="W41" s="167"/>
    </row>
    <row r="42" spans="8:23" ht="12" customHeight="1" thickBot="1">
      <c r="H42" s="622">
        <v>0</v>
      </c>
      <c r="P42" s="602"/>
      <c r="Q42" s="603"/>
      <c r="R42" s="603"/>
      <c r="S42" s="603"/>
      <c r="T42" s="603"/>
      <c r="U42" s="603"/>
      <c r="V42" s="603"/>
      <c r="W42" s="618">
        <v>1</v>
      </c>
    </row>
    <row r="43" spans="4:29" ht="12" customHeight="1" thickTop="1">
      <c r="D43" s="167"/>
      <c r="E43" s="167"/>
      <c r="F43" s="167"/>
      <c r="G43" s="607"/>
      <c r="H43" s="168"/>
      <c r="I43" s="168"/>
      <c r="J43" s="168"/>
      <c r="K43" s="168"/>
      <c r="L43" s="168"/>
      <c r="M43" s="168"/>
      <c r="N43" s="527" t="s">
        <v>140</v>
      </c>
      <c r="O43" s="527"/>
      <c r="P43" s="529"/>
      <c r="Q43" s="529"/>
      <c r="R43" s="167"/>
      <c r="S43" s="167"/>
      <c r="T43" s="167"/>
      <c r="U43" s="167"/>
      <c r="V43" s="167"/>
      <c r="W43" s="167"/>
      <c r="X43" s="599"/>
      <c r="Y43" s="167"/>
      <c r="Z43" s="167"/>
      <c r="AA43" s="167"/>
      <c r="AC43" s="167"/>
    </row>
    <row r="44" spans="4:27" ht="12" customHeight="1">
      <c r="D44" s="167"/>
      <c r="E44" s="167"/>
      <c r="F44" s="167"/>
      <c r="G44" s="60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599"/>
      <c r="Y44" s="167"/>
      <c r="Z44" s="167"/>
      <c r="AA44" s="167"/>
    </row>
    <row r="45" spans="4:27" ht="12" customHeight="1" thickBot="1">
      <c r="D45" s="618">
        <v>3</v>
      </c>
      <c r="E45" s="603"/>
      <c r="F45" s="603"/>
      <c r="G45" s="609"/>
      <c r="H45" s="234"/>
      <c r="I45" s="234"/>
      <c r="J45" s="234"/>
      <c r="K45" s="640">
        <v>3</v>
      </c>
      <c r="L45" s="235"/>
      <c r="M45" s="235"/>
      <c r="N45" s="548" t="s">
        <v>139</v>
      </c>
      <c r="O45" s="548"/>
      <c r="P45" s="548"/>
      <c r="Q45" s="548"/>
      <c r="R45" s="235"/>
      <c r="S45" s="235"/>
      <c r="T45" s="640">
        <v>1</v>
      </c>
      <c r="U45" s="234"/>
      <c r="V45" s="234"/>
      <c r="W45" s="234"/>
      <c r="X45" s="602"/>
      <c r="Y45" s="603"/>
      <c r="Z45" s="603"/>
      <c r="AA45" s="618">
        <v>2</v>
      </c>
    </row>
    <row r="46" spans="2:27" ht="12" customHeight="1" thickTop="1">
      <c r="B46" s="167"/>
      <c r="C46" s="607"/>
      <c r="D46" s="167"/>
      <c r="E46" s="167"/>
      <c r="F46" s="529" t="s">
        <v>135</v>
      </c>
      <c r="G46" s="529"/>
      <c r="H46" s="527"/>
      <c r="I46" s="527"/>
      <c r="J46" s="167"/>
      <c r="K46" s="167"/>
      <c r="L46" s="599"/>
      <c r="M46" s="167"/>
      <c r="N46" s="624" t="s">
        <v>293</v>
      </c>
      <c r="O46" s="624"/>
      <c r="P46" s="624"/>
      <c r="Q46" s="624"/>
      <c r="R46" s="167"/>
      <c r="S46" s="167"/>
      <c r="T46" s="599"/>
      <c r="U46" s="167"/>
      <c r="V46" s="527" t="s">
        <v>137</v>
      </c>
      <c r="W46" s="527"/>
      <c r="X46" s="529"/>
      <c r="Y46" s="529"/>
      <c r="Z46" s="167"/>
      <c r="AA46" s="607"/>
    </row>
    <row r="47" spans="2:27" ht="12" customHeight="1">
      <c r="B47" s="167"/>
      <c r="C47" s="607"/>
      <c r="D47" s="167"/>
      <c r="E47" s="167"/>
      <c r="F47" s="529" t="s">
        <v>291</v>
      </c>
      <c r="G47" s="529"/>
      <c r="H47" s="529"/>
      <c r="I47" s="529"/>
      <c r="J47" s="167"/>
      <c r="K47" s="167"/>
      <c r="L47" s="599"/>
      <c r="M47" s="167"/>
      <c r="R47" s="167"/>
      <c r="S47" s="167"/>
      <c r="T47" s="599"/>
      <c r="U47" s="167"/>
      <c r="V47" s="167"/>
      <c r="W47" s="167"/>
      <c r="X47" s="167"/>
      <c r="Y47" s="167"/>
      <c r="Z47" s="167"/>
      <c r="AA47" s="607"/>
    </row>
    <row r="48" spans="2:30" ht="12" customHeight="1" thickBot="1">
      <c r="B48" s="618">
        <v>9</v>
      </c>
      <c r="C48" s="609"/>
      <c r="D48" s="171"/>
      <c r="E48" s="615">
        <v>0</v>
      </c>
      <c r="F48" s="167"/>
      <c r="G48" s="167"/>
      <c r="H48" s="167"/>
      <c r="I48" s="167"/>
      <c r="J48" s="644">
        <v>0</v>
      </c>
      <c r="K48" s="171"/>
      <c r="L48" s="602"/>
      <c r="M48" s="618">
        <v>1</v>
      </c>
      <c r="R48" s="621">
        <v>1</v>
      </c>
      <c r="S48" s="167"/>
      <c r="T48" s="602"/>
      <c r="U48" s="618">
        <v>1</v>
      </c>
      <c r="V48" s="167"/>
      <c r="W48" s="167"/>
      <c r="X48" s="167"/>
      <c r="Y48" s="167"/>
      <c r="Z48" s="618">
        <v>5</v>
      </c>
      <c r="AA48" s="609"/>
      <c r="AC48" s="622">
        <v>0</v>
      </c>
      <c r="AD48" s="167"/>
    </row>
    <row r="49" spans="2:29" ht="12" customHeight="1" thickTop="1">
      <c r="B49" s="648" t="s">
        <v>132</v>
      </c>
      <c r="C49" s="529"/>
      <c r="D49" s="527"/>
      <c r="E49" s="516"/>
      <c r="J49" s="515" t="s">
        <v>131</v>
      </c>
      <c r="K49" s="527"/>
      <c r="L49" s="529"/>
      <c r="M49" s="647"/>
      <c r="R49" s="515" t="s">
        <v>133</v>
      </c>
      <c r="S49" s="527"/>
      <c r="T49" s="529"/>
      <c r="U49" s="647"/>
      <c r="Y49" s="607"/>
      <c r="Z49" s="529" t="s">
        <v>134</v>
      </c>
      <c r="AA49" s="529"/>
      <c r="AB49" s="527"/>
      <c r="AC49" s="516"/>
    </row>
    <row r="50" spans="2:29" ht="12" customHeight="1">
      <c r="B50" s="599"/>
      <c r="C50" s="167"/>
      <c r="D50" s="167"/>
      <c r="E50" s="169"/>
      <c r="J50" s="166"/>
      <c r="K50" s="167"/>
      <c r="L50" s="167"/>
      <c r="M50" s="607"/>
      <c r="R50" s="528" t="s">
        <v>292</v>
      </c>
      <c r="S50" s="529"/>
      <c r="T50" s="529"/>
      <c r="U50" s="647"/>
      <c r="Y50" s="607"/>
      <c r="Z50" s="167"/>
      <c r="AA50" s="167"/>
      <c r="AB50" s="167"/>
      <c r="AC50" s="169"/>
    </row>
    <row r="51" spans="2:29" ht="12" customHeight="1">
      <c r="B51" s="599"/>
      <c r="C51" s="167"/>
      <c r="D51" s="167"/>
      <c r="E51" s="169"/>
      <c r="J51" s="166"/>
      <c r="K51" s="167"/>
      <c r="L51" s="167"/>
      <c r="M51" s="607"/>
      <c r="R51" s="166"/>
      <c r="S51" s="167"/>
      <c r="T51" s="167"/>
      <c r="U51" s="607"/>
      <c r="Y51" s="607"/>
      <c r="Z51" s="167"/>
      <c r="AA51" s="167"/>
      <c r="AB51" s="167"/>
      <c r="AC51" s="169"/>
    </row>
    <row r="52" spans="2:29" ht="12" customHeight="1" thickBot="1">
      <c r="B52" s="600"/>
      <c r="C52" s="167"/>
      <c r="D52" s="167"/>
      <c r="E52" s="172"/>
      <c r="J52" s="170"/>
      <c r="K52" s="167"/>
      <c r="L52" s="167"/>
      <c r="M52" s="608"/>
      <c r="R52" s="170"/>
      <c r="S52" s="167"/>
      <c r="T52" s="167"/>
      <c r="U52" s="608"/>
      <c r="Y52" s="608"/>
      <c r="Z52" s="171"/>
      <c r="AA52" s="167"/>
      <c r="AB52" s="167"/>
      <c r="AC52" s="172"/>
    </row>
    <row r="53" spans="1:30" ht="12" customHeight="1">
      <c r="A53" s="517" t="s">
        <v>47</v>
      </c>
      <c r="B53" s="540"/>
      <c r="C53" s="162"/>
      <c r="D53" s="162"/>
      <c r="E53" s="517" t="s">
        <v>48</v>
      </c>
      <c r="F53" s="518"/>
      <c r="G53" s="162"/>
      <c r="H53" s="162"/>
      <c r="I53" s="517" t="s">
        <v>49</v>
      </c>
      <c r="J53" s="518"/>
      <c r="K53" s="162"/>
      <c r="L53" s="162"/>
      <c r="M53" s="533" t="s">
        <v>50</v>
      </c>
      <c r="N53" s="518"/>
      <c r="O53" s="162"/>
      <c r="P53" s="162"/>
      <c r="Q53" s="517" t="s">
        <v>51</v>
      </c>
      <c r="R53" s="518"/>
      <c r="S53" s="162"/>
      <c r="T53" s="162"/>
      <c r="U53" s="517" t="s">
        <v>52</v>
      </c>
      <c r="V53" s="518"/>
      <c r="W53" s="162"/>
      <c r="X53" s="162"/>
      <c r="Y53" s="533" t="s">
        <v>53</v>
      </c>
      <c r="Z53" s="518"/>
      <c r="AA53" s="162"/>
      <c r="AB53" s="162"/>
      <c r="AC53" s="517" t="s">
        <v>54</v>
      </c>
      <c r="AD53" s="518"/>
    </row>
    <row r="54" spans="1:30" ht="12" customHeight="1">
      <c r="A54" s="519" t="str">
        <f>'予選 (3)'!AL71</f>
        <v>下　田</v>
      </c>
      <c r="B54" s="520"/>
      <c r="C54" s="135"/>
      <c r="D54" s="135"/>
      <c r="E54" s="519" t="str">
        <f>'予選 (3)'!AL73</f>
        <v>岩出市</v>
      </c>
      <c r="F54" s="520"/>
      <c r="G54" s="135"/>
      <c r="H54" s="135"/>
      <c r="I54" s="519" t="str">
        <f>'予選 (3)'!AL75</f>
        <v>富雄第三</v>
      </c>
      <c r="J54" s="520"/>
      <c r="K54" s="135"/>
      <c r="L54" s="135"/>
      <c r="M54" s="519" t="str">
        <f>'予選 (3)'!AL77</f>
        <v>アルボーレ</v>
      </c>
      <c r="N54" s="520"/>
      <c r="O54" s="135"/>
      <c r="P54" s="135"/>
      <c r="Q54" s="519" t="str">
        <f>'予選 (3)'!AL79</f>
        <v>辰　市</v>
      </c>
      <c r="R54" s="520"/>
      <c r="S54" s="135"/>
      <c r="T54" s="135"/>
      <c r="U54" s="519" t="str">
        <f>'予選 (3)'!AL81</f>
        <v>明　治</v>
      </c>
      <c r="V54" s="520"/>
      <c r="W54" s="135"/>
      <c r="X54" s="135"/>
      <c r="Y54" s="519" t="s">
        <v>273</v>
      </c>
      <c r="Z54" s="520"/>
      <c r="AA54" s="135"/>
      <c r="AB54" s="135"/>
      <c r="AC54" s="519" t="str">
        <f>'予選 (3)'!AL85</f>
        <v>アーヴォリ</v>
      </c>
      <c r="AD54" s="520"/>
    </row>
    <row r="55" spans="1:30" ht="12" customHeight="1">
      <c r="A55" s="519"/>
      <c r="B55" s="520"/>
      <c r="C55" s="135"/>
      <c r="D55" s="135"/>
      <c r="E55" s="519"/>
      <c r="F55" s="520"/>
      <c r="G55" s="135"/>
      <c r="H55" s="135"/>
      <c r="I55" s="519"/>
      <c r="J55" s="520"/>
      <c r="K55" s="135"/>
      <c r="L55" s="135"/>
      <c r="M55" s="519"/>
      <c r="N55" s="520"/>
      <c r="O55" s="135"/>
      <c r="P55" s="135"/>
      <c r="Q55" s="519"/>
      <c r="R55" s="520"/>
      <c r="S55" s="135"/>
      <c r="T55" s="135"/>
      <c r="U55" s="519"/>
      <c r="V55" s="520"/>
      <c r="W55" s="135"/>
      <c r="X55" s="135"/>
      <c r="Y55" s="519"/>
      <c r="Z55" s="520"/>
      <c r="AA55" s="135"/>
      <c r="AB55" s="135"/>
      <c r="AC55" s="519"/>
      <c r="AD55" s="520"/>
    </row>
    <row r="56" spans="1:30" ht="12" customHeight="1">
      <c r="A56" s="519"/>
      <c r="B56" s="520"/>
      <c r="C56" s="136"/>
      <c r="D56" s="136"/>
      <c r="E56" s="519"/>
      <c r="F56" s="520"/>
      <c r="G56" s="135"/>
      <c r="H56" s="136"/>
      <c r="I56" s="519"/>
      <c r="J56" s="520"/>
      <c r="K56" s="136"/>
      <c r="L56" s="136"/>
      <c r="M56" s="519"/>
      <c r="N56" s="520"/>
      <c r="O56" s="135"/>
      <c r="P56" s="135"/>
      <c r="Q56" s="519"/>
      <c r="R56" s="520"/>
      <c r="S56" s="135"/>
      <c r="T56" s="136"/>
      <c r="U56" s="519"/>
      <c r="V56" s="520"/>
      <c r="W56" s="136"/>
      <c r="X56" s="135"/>
      <c r="Y56" s="519"/>
      <c r="Z56" s="520"/>
      <c r="AA56" s="135"/>
      <c r="AB56" s="136"/>
      <c r="AC56" s="519"/>
      <c r="AD56" s="520"/>
    </row>
    <row r="57" spans="1:30" ht="12" customHeight="1">
      <c r="A57" s="519"/>
      <c r="B57" s="520"/>
      <c r="C57" s="136"/>
      <c r="D57" s="136"/>
      <c r="E57" s="519"/>
      <c r="F57" s="520"/>
      <c r="G57" s="135"/>
      <c r="H57" s="136"/>
      <c r="I57" s="519"/>
      <c r="J57" s="520"/>
      <c r="K57" s="136"/>
      <c r="L57" s="136"/>
      <c r="M57" s="519"/>
      <c r="N57" s="520"/>
      <c r="O57" s="135"/>
      <c r="P57" s="135"/>
      <c r="Q57" s="519"/>
      <c r="R57" s="520"/>
      <c r="S57" s="135"/>
      <c r="T57" s="136"/>
      <c r="U57" s="519"/>
      <c r="V57" s="520"/>
      <c r="W57" s="136"/>
      <c r="X57" s="135"/>
      <c r="Y57" s="519"/>
      <c r="Z57" s="520"/>
      <c r="AA57" s="135"/>
      <c r="AB57" s="136"/>
      <c r="AC57" s="519"/>
      <c r="AD57" s="520"/>
    </row>
    <row r="58" spans="1:30" ht="12" customHeight="1">
      <c r="A58" s="519"/>
      <c r="B58" s="520"/>
      <c r="C58" s="136"/>
      <c r="D58" s="136"/>
      <c r="E58" s="519"/>
      <c r="F58" s="520"/>
      <c r="G58" s="135"/>
      <c r="H58" s="136"/>
      <c r="I58" s="519"/>
      <c r="J58" s="520"/>
      <c r="K58" s="136"/>
      <c r="L58" s="136"/>
      <c r="M58" s="519"/>
      <c r="N58" s="520"/>
      <c r="O58" s="135"/>
      <c r="P58" s="135"/>
      <c r="Q58" s="519"/>
      <c r="R58" s="520"/>
      <c r="S58" s="135"/>
      <c r="T58" s="136"/>
      <c r="U58" s="519"/>
      <c r="V58" s="520"/>
      <c r="W58" s="136"/>
      <c r="X58" s="135"/>
      <c r="Y58" s="519"/>
      <c r="Z58" s="520"/>
      <c r="AA58" s="135"/>
      <c r="AB58" s="136"/>
      <c r="AC58" s="519"/>
      <c r="AD58" s="520"/>
    </row>
    <row r="59" spans="1:30" ht="12" customHeight="1" thickBot="1">
      <c r="A59" s="521"/>
      <c r="B59" s="522"/>
      <c r="C59" s="136"/>
      <c r="D59" s="136"/>
      <c r="E59" s="521"/>
      <c r="F59" s="522"/>
      <c r="G59" s="135"/>
      <c r="H59" s="136"/>
      <c r="I59" s="521"/>
      <c r="J59" s="522"/>
      <c r="K59" s="136"/>
      <c r="L59" s="136"/>
      <c r="M59" s="521"/>
      <c r="N59" s="522"/>
      <c r="O59" s="135"/>
      <c r="P59" s="135"/>
      <c r="Q59" s="521"/>
      <c r="R59" s="522"/>
      <c r="S59" s="135"/>
      <c r="T59" s="136"/>
      <c r="U59" s="521"/>
      <c r="V59" s="522"/>
      <c r="W59" s="136"/>
      <c r="X59" s="135"/>
      <c r="Y59" s="521"/>
      <c r="Z59" s="522"/>
      <c r="AA59" s="135"/>
      <c r="AB59" s="136"/>
      <c r="AC59" s="521"/>
      <c r="AD59" s="522"/>
    </row>
    <row r="60" spans="3:30" ht="12" customHeight="1"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</row>
    <row r="61" spans="2:30" ht="12" customHeight="1">
      <c r="B61" s="167"/>
      <c r="C61" s="167"/>
      <c r="D61" s="173"/>
      <c r="E61" s="167"/>
      <c r="F61" s="167"/>
      <c r="G61" s="167"/>
      <c r="H61" s="167"/>
      <c r="I61" s="167"/>
      <c r="J61" s="167"/>
      <c r="K61" s="167"/>
      <c r="L61" s="605"/>
      <c r="M61" s="167"/>
      <c r="N61" s="167"/>
      <c r="O61" s="167"/>
      <c r="P61" s="167"/>
      <c r="Q61" s="167"/>
      <c r="R61" s="167"/>
      <c r="S61" s="167"/>
      <c r="T61" s="605"/>
      <c r="U61" s="167"/>
      <c r="V61" s="167"/>
      <c r="W61" s="167"/>
      <c r="X61" s="167"/>
      <c r="Y61" s="167"/>
      <c r="Z61" s="167"/>
      <c r="AA61" s="174"/>
      <c r="AB61" s="167"/>
      <c r="AC61" s="167"/>
      <c r="AD61" s="167"/>
    </row>
    <row r="62" spans="2:30" ht="12" customHeight="1">
      <c r="B62" s="167"/>
      <c r="C62" s="167"/>
      <c r="D62" s="173"/>
      <c r="E62" s="167"/>
      <c r="F62" s="167"/>
      <c r="G62" s="167"/>
      <c r="H62" s="167"/>
      <c r="I62" s="167"/>
      <c r="J62" s="167"/>
      <c r="K62" s="167"/>
      <c r="L62" s="605"/>
      <c r="M62" s="167"/>
      <c r="N62" s="167"/>
      <c r="O62" s="167"/>
      <c r="P62" s="167"/>
      <c r="Q62" s="167"/>
      <c r="R62" s="167"/>
      <c r="S62" s="167"/>
      <c r="T62" s="605"/>
      <c r="U62" s="167"/>
      <c r="V62" s="167"/>
      <c r="W62" s="167"/>
      <c r="X62" s="167"/>
      <c r="Y62" s="167"/>
      <c r="Z62" s="167"/>
      <c r="AA62" s="174"/>
      <c r="AB62" s="167"/>
      <c r="AC62" s="167"/>
      <c r="AD62" s="167"/>
    </row>
    <row r="63" spans="2:30" ht="12" customHeight="1" thickBot="1">
      <c r="B63" s="167"/>
      <c r="C63" s="167"/>
      <c r="D63" s="175"/>
      <c r="E63" s="176"/>
      <c r="F63" s="531" t="s">
        <v>136</v>
      </c>
      <c r="G63" s="531"/>
      <c r="H63" s="529"/>
      <c r="I63" s="529"/>
      <c r="J63" s="167"/>
      <c r="K63" s="167"/>
      <c r="L63" s="605"/>
      <c r="M63" s="167"/>
      <c r="N63" s="167"/>
      <c r="O63" s="167"/>
      <c r="P63" s="167"/>
      <c r="Q63" s="167"/>
      <c r="R63" s="167"/>
      <c r="S63" s="167"/>
      <c r="T63" s="606"/>
      <c r="U63" s="167"/>
      <c r="V63" s="529" t="s">
        <v>138</v>
      </c>
      <c r="W63" s="529"/>
      <c r="X63" s="531"/>
      <c r="Y63" s="531"/>
      <c r="Z63" s="176"/>
      <c r="AA63" s="177"/>
      <c r="AB63" s="167"/>
      <c r="AC63" s="167"/>
      <c r="AD63" s="167"/>
    </row>
    <row r="64" spans="4:27" ht="12" customHeight="1">
      <c r="D64" s="622">
        <v>0</v>
      </c>
      <c r="H64" s="604"/>
      <c r="I64" s="604"/>
      <c r="J64" s="604"/>
      <c r="K64" s="620">
        <v>4</v>
      </c>
      <c r="T64" s="620">
        <v>3</v>
      </c>
      <c r="U64" s="604"/>
      <c r="V64" s="604"/>
      <c r="W64" s="604"/>
      <c r="AA64" s="622">
        <v>0</v>
      </c>
    </row>
  </sheetData>
  <sheetProtection selectLockedCells="1"/>
  <mergeCells count="64">
    <mergeCell ref="F47:I47"/>
    <mergeCell ref="R50:U50"/>
    <mergeCell ref="N46:Q46"/>
    <mergeCell ref="A38:G38"/>
    <mergeCell ref="A39:G39"/>
    <mergeCell ref="F46:I46"/>
    <mergeCell ref="V46:Y46"/>
    <mergeCell ref="A53:B53"/>
    <mergeCell ref="E53:F53"/>
    <mergeCell ref="I53:J53"/>
    <mergeCell ref="M53:N53"/>
    <mergeCell ref="Q53:R53"/>
    <mergeCell ref="N43:Q43"/>
    <mergeCell ref="E54:F59"/>
    <mergeCell ref="I54:J59"/>
    <mergeCell ref="M54:N59"/>
    <mergeCell ref="U54:V59"/>
    <mergeCell ref="Y54:Z59"/>
    <mergeCell ref="F63:I63"/>
    <mergeCell ref="Y53:Z53"/>
    <mergeCell ref="Z49:AC49"/>
    <mergeCell ref="AC54:AD59"/>
    <mergeCell ref="R49:U49"/>
    <mergeCell ref="AC53:AD53"/>
    <mergeCell ref="N45:Q45"/>
    <mergeCell ref="U19:V24"/>
    <mergeCell ref="B49:E49"/>
    <mergeCell ref="Q54:R59"/>
    <mergeCell ref="U53:V53"/>
    <mergeCell ref="A19:B24"/>
    <mergeCell ref="E19:F24"/>
    <mergeCell ref="I19:J24"/>
    <mergeCell ref="M19:N24"/>
    <mergeCell ref="Q19:R24"/>
    <mergeCell ref="F28:I28"/>
    <mergeCell ref="Y18:Z18"/>
    <mergeCell ref="A18:B18"/>
    <mergeCell ref="E18:F18"/>
    <mergeCell ref="I18:J18"/>
    <mergeCell ref="M18:N18"/>
    <mergeCell ref="Q18:R18"/>
    <mergeCell ref="Q1:AD1"/>
    <mergeCell ref="A3:G3"/>
    <mergeCell ref="A4:G4"/>
    <mergeCell ref="N8:Q8"/>
    <mergeCell ref="I3:V5"/>
    <mergeCell ref="N10:Q10"/>
    <mergeCell ref="F11:I11"/>
    <mergeCell ref="V11:Y11"/>
    <mergeCell ref="B14:E14"/>
    <mergeCell ref="J14:M14"/>
    <mergeCell ref="R14:U14"/>
    <mergeCell ref="Z14:AC14"/>
    <mergeCell ref="N11:Q11"/>
    <mergeCell ref="Y19:Z24"/>
    <mergeCell ref="AC19:AD24"/>
    <mergeCell ref="U18:V18"/>
    <mergeCell ref="A54:B59"/>
    <mergeCell ref="V63:Y63"/>
    <mergeCell ref="V28:Y28"/>
    <mergeCell ref="A33:AE34"/>
    <mergeCell ref="AC18:AD18"/>
    <mergeCell ref="I38:V40"/>
    <mergeCell ref="J49:M49"/>
  </mergeCells>
  <printOptions/>
  <pageMargins left="0.7874015748031497" right="0.7874015748031497" top="0.6692913385826772" bottom="0.6299212598425197" header="0.5118110236220472" footer="0.31496062992125984"/>
  <pageSetup firstPageNumber="6" useFirstPageNumber="1" horizontalDpi="300" verticalDpi="300" orientation="portrait" paperSize="9" scale="99" r:id="rId1"/>
  <headerFooter alignWithMargins="0">
    <oddFooter>&amp;C&amp;[１０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6">
      <selection activeCell="AP54" sqref="AP54:AQ55"/>
    </sheetView>
  </sheetViews>
  <sheetFormatPr defaultColWidth="9.00390625" defaultRowHeight="13.5"/>
  <cols>
    <col min="1" max="16" width="5.125" style="0" customWidth="1"/>
  </cols>
  <sheetData>
    <row r="1" spans="1:16" ht="13.5">
      <c r="A1" s="595" t="s">
        <v>199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6" ht="13.5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</row>
    <row r="3" spans="1:16" ht="13.5">
      <c r="A3" s="595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ht="13.5">
      <c r="A4" s="596" t="s">
        <v>200</v>
      </c>
      <c r="B4" s="596"/>
      <c r="C4" s="596"/>
      <c r="D4" s="596"/>
      <c r="E4" s="186"/>
      <c r="F4" s="186"/>
      <c r="G4" s="186"/>
      <c r="H4" s="598" t="s">
        <v>268</v>
      </c>
      <c r="I4" s="598"/>
      <c r="J4" s="186"/>
      <c r="K4" s="186"/>
      <c r="L4" s="186"/>
      <c r="M4" s="186"/>
      <c r="N4" s="186"/>
      <c r="O4" s="186"/>
      <c r="P4" s="186"/>
    </row>
    <row r="5" spans="1:16" ht="13.5">
      <c r="A5" s="596"/>
      <c r="B5" s="596"/>
      <c r="C5" s="596"/>
      <c r="D5" s="596"/>
      <c r="E5" s="186"/>
      <c r="F5" s="186"/>
      <c r="G5" s="186"/>
      <c r="H5" s="598"/>
      <c r="I5" s="598"/>
      <c r="J5" s="186"/>
      <c r="K5" s="186"/>
      <c r="L5" s="186"/>
      <c r="M5" s="186"/>
      <c r="N5" s="186"/>
      <c r="O5" s="186"/>
      <c r="P5" s="186"/>
    </row>
    <row r="6" spans="1:16" ht="14.25" thickBot="1">
      <c r="A6" s="186"/>
      <c r="B6" s="186"/>
      <c r="C6" s="186"/>
      <c r="D6" s="186">
        <v>0</v>
      </c>
      <c r="E6" s="206"/>
      <c r="F6" s="206"/>
      <c r="G6" s="206"/>
      <c r="H6" s="206"/>
      <c r="I6" s="200"/>
      <c r="J6" s="201"/>
      <c r="K6" s="201"/>
      <c r="L6" s="201"/>
      <c r="M6" s="202">
        <v>7</v>
      </c>
      <c r="N6" s="186"/>
      <c r="O6" s="186"/>
      <c r="P6" s="186"/>
    </row>
    <row r="7" spans="1:16" ht="13.5">
      <c r="A7" s="187"/>
      <c r="B7" s="187"/>
      <c r="C7" s="188"/>
      <c r="D7" s="192"/>
      <c r="E7" s="188"/>
      <c r="F7" s="188"/>
      <c r="G7" s="188"/>
      <c r="H7" s="584" t="s">
        <v>236</v>
      </c>
      <c r="I7" s="584"/>
      <c r="J7" s="188"/>
      <c r="K7" s="188"/>
      <c r="L7" s="188"/>
      <c r="M7" s="195"/>
      <c r="N7" s="188"/>
      <c r="O7" s="187"/>
      <c r="P7" s="187"/>
    </row>
    <row r="8" spans="1:16" ht="14.25" thickBot="1">
      <c r="A8" s="187"/>
      <c r="B8" s="187"/>
      <c r="C8" s="188"/>
      <c r="D8" s="192"/>
      <c r="E8" s="204"/>
      <c r="F8" s="204"/>
      <c r="G8" s="204">
        <v>1</v>
      </c>
      <c r="H8" s="597"/>
      <c r="I8" s="597"/>
      <c r="J8" s="226">
        <v>1</v>
      </c>
      <c r="K8" s="204"/>
      <c r="L8" s="204"/>
      <c r="M8" s="195"/>
      <c r="N8" s="188"/>
      <c r="O8" s="187"/>
      <c r="P8" s="187"/>
    </row>
    <row r="9" spans="1:16" ht="14.25" thickBot="1">
      <c r="A9" s="187"/>
      <c r="B9" s="187">
        <v>2</v>
      </c>
      <c r="C9" s="194"/>
      <c r="D9" s="193"/>
      <c r="E9" s="209"/>
      <c r="F9" s="209"/>
      <c r="G9" s="190">
        <v>1</v>
      </c>
      <c r="H9" s="584" t="s">
        <v>237</v>
      </c>
      <c r="I9" s="584"/>
      <c r="J9" s="188">
        <v>0</v>
      </c>
      <c r="K9" s="209"/>
      <c r="L9" s="209"/>
      <c r="M9" s="196"/>
      <c r="N9" s="194"/>
      <c r="O9" s="191">
        <v>2</v>
      </c>
      <c r="P9" s="187"/>
    </row>
    <row r="10" spans="1:16" ht="14.25" thickTop="1">
      <c r="A10" s="187"/>
      <c r="B10" s="192"/>
      <c r="C10" s="188"/>
      <c r="D10" s="584" t="s">
        <v>201</v>
      </c>
      <c r="E10" s="584"/>
      <c r="F10" s="188"/>
      <c r="G10" s="195"/>
      <c r="H10" s="584"/>
      <c r="I10" s="584"/>
      <c r="J10" s="187"/>
      <c r="K10" s="195"/>
      <c r="L10" s="584" t="s">
        <v>222</v>
      </c>
      <c r="M10" s="584"/>
      <c r="N10" s="192"/>
      <c r="O10" s="187"/>
      <c r="P10" s="187"/>
    </row>
    <row r="11" spans="1:16" ht="13.5">
      <c r="A11" s="187"/>
      <c r="B11" s="192"/>
      <c r="C11" s="188"/>
      <c r="D11" s="584"/>
      <c r="E11" s="584"/>
      <c r="F11" s="188"/>
      <c r="G11" s="195"/>
      <c r="H11" s="187"/>
      <c r="I11" s="187"/>
      <c r="J11" s="187"/>
      <c r="K11" s="195"/>
      <c r="L11" s="584"/>
      <c r="M11" s="584"/>
      <c r="N11" s="197" t="s">
        <v>257</v>
      </c>
      <c r="O11" s="187" t="s">
        <v>258</v>
      </c>
      <c r="P11" s="187"/>
    </row>
    <row r="12" spans="1:16" ht="14.25" thickBot="1">
      <c r="A12" s="187">
        <v>3</v>
      </c>
      <c r="B12" s="193"/>
      <c r="C12" s="204"/>
      <c r="D12" s="190">
        <v>0</v>
      </c>
      <c r="E12" s="188">
        <v>1</v>
      </c>
      <c r="F12" s="204"/>
      <c r="G12" s="196"/>
      <c r="H12" s="191">
        <v>3</v>
      </c>
      <c r="I12" s="187">
        <v>0</v>
      </c>
      <c r="J12" s="204"/>
      <c r="K12" s="196"/>
      <c r="L12" s="190">
        <v>2</v>
      </c>
      <c r="M12" s="188">
        <v>1</v>
      </c>
      <c r="N12" s="210" t="s">
        <v>255</v>
      </c>
      <c r="O12" s="211" t="s">
        <v>256</v>
      </c>
      <c r="P12" s="191">
        <v>1</v>
      </c>
    </row>
    <row r="13" spans="1:16" ht="14.25" thickTop="1">
      <c r="A13" s="192"/>
      <c r="B13" s="584" t="s">
        <v>202</v>
      </c>
      <c r="C13" s="584"/>
      <c r="D13" s="203"/>
      <c r="E13" s="205"/>
      <c r="F13" s="584" t="s">
        <v>238</v>
      </c>
      <c r="G13" s="584"/>
      <c r="H13" s="195"/>
      <c r="I13" s="205"/>
      <c r="J13" s="584" t="s">
        <v>214</v>
      </c>
      <c r="K13" s="584"/>
      <c r="L13" s="195"/>
      <c r="M13" s="192"/>
      <c r="N13" s="584" t="s">
        <v>230</v>
      </c>
      <c r="O13" s="584"/>
      <c r="P13" s="203"/>
    </row>
    <row r="14" spans="1:16" ht="13.5">
      <c r="A14" s="192"/>
      <c r="B14" s="584"/>
      <c r="C14" s="584"/>
      <c r="D14" s="203"/>
      <c r="E14" s="205"/>
      <c r="F14" s="584"/>
      <c r="G14" s="584"/>
      <c r="H14" s="195"/>
      <c r="I14" s="205"/>
      <c r="J14" s="584"/>
      <c r="K14" s="584"/>
      <c r="L14" s="195"/>
      <c r="M14" s="192"/>
      <c r="N14" s="584"/>
      <c r="O14" s="584"/>
      <c r="P14" s="203"/>
    </row>
    <row r="15" spans="1:16" ht="13.5">
      <c r="A15" s="192"/>
      <c r="B15" s="188"/>
      <c r="C15" s="188"/>
      <c r="D15" s="203"/>
      <c r="E15" s="205"/>
      <c r="F15" s="188"/>
      <c r="G15" s="188"/>
      <c r="H15" s="195"/>
      <c r="I15" s="205"/>
      <c r="J15" s="188"/>
      <c r="K15" s="188"/>
      <c r="L15" s="195"/>
      <c r="M15" s="192"/>
      <c r="N15" s="188"/>
      <c r="O15" s="188"/>
      <c r="P15" s="203"/>
    </row>
    <row r="16" spans="1:16" ht="13.5">
      <c r="A16" s="593" t="s">
        <v>203</v>
      </c>
      <c r="B16" s="593"/>
      <c r="C16" s="594" t="s">
        <v>204</v>
      </c>
      <c r="D16" s="594"/>
      <c r="E16" s="594" t="s">
        <v>239</v>
      </c>
      <c r="F16" s="593"/>
      <c r="G16" s="593" t="s">
        <v>205</v>
      </c>
      <c r="H16" s="593"/>
      <c r="I16" s="594" t="s">
        <v>274</v>
      </c>
      <c r="J16" s="594"/>
      <c r="K16" s="594" t="s">
        <v>207</v>
      </c>
      <c r="L16" s="593"/>
      <c r="M16" s="593" t="s">
        <v>240</v>
      </c>
      <c r="N16" s="593"/>
      <c r="O16" s="593" t="s">
        <v>208</v>
      </c>
      <c r="P16" s="593"/>
    </row>
    <row r="17" spans="1:16" ht="13.5">
      <c r="A17" s="593"/>
      <c r="B17" s="593"/>
      <c r="C17" s="594"/>
      <c r="D17" s="594"/>
      <c r="E17" s="593"/>
      <c r="F17" s="593"/>
      <c r="G17" s="593"/>
      <c r="H17" s="593"/>
      <c r="I17" s="594"/>
      <c r="J17" s="594"/>
      <c r="K17" s="593"/>
      <c r="L17" s="593"/>
      <c r="M17" s="593"/>
      <c r="N17" s="593"/>
      <c r="O17" s="593"/>
      <c r="P17" s="593"/>
    </row>
    <row r="18" spans="1:16" ht="13.5">
      <c r="A18" s="593"/>
      <c r="B18" s="593"/>
      <c r="C18" s="594"/>
      <c r="D18" s="594"/>
      <c r="E18" s="593"/>
      <c r="F18" s="593"/>
      <c r="G18" s="593"/>
      <c r="H18" s="593"/>
      <c r="I18" s="594"/>
      <c r="J18" s="594"/>
      <c r="K18" s="593"/>
      <c r="L18" s="593"/>
      <c r="M18" s="593"/>
      <c r="N18" s="593"/>
      <c r="O18" s="593"/>
      <c r="P18" s="593"/>
    </row>
    <row r="19" spans="1:16" ht="13.5">
      <c r="A19" s="593"/>
      <c r="B19" s="593"/>
      <c r="C19" s="594"/>
      <c r="D19" s="594"/>
      <c r="E19" s="593"/>
      <c r="F19" s="593"/>
      <c r="G19" s="593"/>
      <c r="H19" s="593"/>
      <c r="I19" s="594"/>
      <c r="J19" s="594"/>
      <c r="K19" s="593"/>
      <c r="L19" s="593"/>
      <c r="M19" s="593"/>
      <c r="N19" s="593"/>
      <c r="O19" s="593"/>
      <c r="P19" s="593"/>
    </row>
    <row r="20" spans="1:16" ht="13.5">
      <c r="A20" s="593"/>
      <c r="B20" s="593"/>
      <c r="C20" s="594"/>
      <c r="D20" s="594"/>
      <c r="E20" s="593"/>
      <c r="F20" s="593"/>
      <c r="G20" s="593"/>
      <c r="H20" s="593"/>
      <c r="I20" s="594"/>
      <c r="J20" s="594"/>
      <c r="K20" s="593"/>
      <c r="L20" s="593"/>
      <c r="M20" s="593"/>
      <c r="N20" s="593"/>
      <c r="O20" s="593"/>
      <c r="P20" s="593"/>
    </row>
    <row r="21" spans="1:16" ht="13.5">
      <c r="A21" s="593"/>
      <c r="B21" s="593"/>
      <c r="C21" s="594"/>
      <c r="D21" s="594"/>
      <c r="E21" s="593"/>
      <c r="F21" s="593"/>
      <c r="G21" s="593"/>
      <c r="H21" s="593"/>
      <c r="I21" s="594"/>
      <c r="J21" s="594"/>
      <c r="K21" s="593"/>
      <c r="L21" s="593"/>
      <c r="M21" s="593"/>
      <c r="N21" s="593"/>
      <c r="O21" s="593"/>
      <c r="P21" s="593"/>
    </row>
    <row r="22" spans="1:16" ht="13.5">
      <c r="A22" s="187"/>
      <c r="B22" s="205"/>
      <c r="C22" s="188"/>
      <c r="D22" s="188"/>
      <c r="E22" s="188"/>
      <c r="F22" s="192"/>
      <c r="G22" s="187"/>
      <c r="H22" s="187"/>
      <c r="I22" s="187"/>
      <c r="J22" s="205"/>
      <c r="K22" s="188"/>
      <c r="L22" s="188"/>
      <c r="M22" s="188"/>
      <c r="N22" s="188"/>
      <c r="O22" s="195"/>
      <c r="P22" s="187"/>
    </row>
    <row r="23" spans="1:16" ht="13.5">
      <c r="A23" s="187"/>
      <c r="B23" s="205"/>
      <c r="C23" s="188"/>
      <c r="D23" s="584" t="s">
        <v>241</v>
      </c>
      <c r="E23" s="584"/>
      <c r="F23" s="192"/>
      <c r="G23" s="187"/>
      <c r="H23" s="187"/>
      <c r="I23" s="187"/>
      <c r="J23" s="205"/>
      <c r="K23" s="188"/>
      <c r="L23" s="584" t="s">
        <v>242</v>
      </c>
      <c r="M23" s="584"/>
      <c r="N23" s="188"/>
      <c r="O23" s="195"/>
      <c r="P23" s="187"/>
    </row>
    <row r="24" spans="1:16" ht="14.25" thickBot="1">
      <c r="A24" s="187"/>
      <c r="B24" s="205"/>
      <c r="C24" s="188"/>
      <c r="D24" s="584"/>
      <c r="E24" s="584"/>
      <c r="F24" s="193"/>
      <c r="G24" s="187"/>
      <c r="H24" s="585" t="s">
        <v>209</v>
      </c>
      <c r="I24" s="585"/>
      <c r="J24" s="205"/>
      <c r="K24" s="188"/>
      <c r="L24" s="584"/>
      <c r="M24" s="584"/>
      <c r="N24" s="188"/>
      <c r="O24" s="195"/>
      <c r="P24" s="187"/>
    </row>
    <row r="25" spans="1:16" ht="15" thickBot="1" thickTop="1">
      <c r="A25" s="187"/>
      <c r="B25" s="187">
        <v>0</v>
      </c>
      <c r="C25" s="212"/>
      <c r="D25" s="212"/>
      <c r="E25" s="198"/>
      <c r="F25" s="188"/>
      <c r="G25" s="190">
        <v>2</v>
      </c>
      <c r="H25" s="584"/>
      <c r="I25" s="584"/>
      <c r="J25" s="188">
        <v>0</v>
      </c>
      <c r="K25" s="209"/>
      <c r="L25" s="209"/>
      <c r="M25" s="198"/>
      <c r="N25" s="199"/>
      <c r="O25" s="191">
        <v>2</v>
      </c>
      <c r="P25" s="187"/>
    </row>
    <row r="26" spans="1:16" ht="13.5">
      <c r="A26" s="187"/>
      <c r="B26" s="187"/>
      <c r="C26" s="187"/>
      <c r="D26" s="187"/>
      <c r="E26" s="213"/>
      <c r="F26" s="212"/>
      <c r="G26" s="212">
        <v>0</v>
      </c>
      <c r="H26" s="586" t="s">
        <v>232</v>
      </c>
      <c r="I26" s="586"/>
      <c r="J26" s="214">
        <v>6</v>
      </c>
      <c r="K26" s="212"/>
      <c r="L26" s="212"/>
      <c r="M26" s="195"/>
      <c r="N26" s="187"/>
      <c r="O26" s="187"/>
      <c r="P26" s="187"/>
    </row>
    <row r="27" spans="1:16" ht="14.25" thickBot="1">
      <c r="A27" s="187"/>
      <c r="B27" s="187"/>
      <c r="C27" s="187"/>
      <c r="D27" s="187"/>
      <c r="E27" s="195"/>
      <c r="F27" s="188"/>
      <c r="G27" s="188"/>
      <c r="H27" s="584"/>
      <c r="I27" s="584"/>
      <c r="J27" s="188"/>
      <c r="K27" s="188"/>
      <c r="L27" s="188"/>
      <c r="M27" s="195"/>
      <c r="N27" s="187"/>
      <c r="O27" s="187"/>
      <c r="P27" s="187"/>
    </row>
    <row r="28" spans="1:16" ht="14.25" thickTop="1">
      <c r="A28" s="187"/>
      <c r="B28" s="187"/>
      <c r="C28" s="187"/>
      <c r="D28" s="187">
        <v>0</v>
      </c>
      <c r="E28" s="215"/>
      <c r="F28" s="215"/>
      <c r="G28" s="215"/>
      <c r="H28" s="216"/>
      <c r="I28" s="198"/>
      <c r="J28" s="199"/>
      <c r="K28" s="199"/>
      <c r="L28" s="199"/>
      <c r="M28" s="191">
        <v>4</v>
      </c>
      <c r="N28" s="187"/>
      <c r="O28" s="187"/>
      <c r="P28" s="187"/>
    </row>
    <row r="29" spans="1:16" ht="13.5">
      <c r="A29" s="187"/>
      <c r="B29" s="187"/>
      <c r="C29" s="187"/>
      <c r="D29" s="187"/>
      <c r="E29" s="187"/>
      <c r="F29" s="187"/>
      <c r="G29" s="187"/>
      <c r="H29" s="592" t="s">
        <v>217</v>
      </c>
      <c r="I29" s="592"/>
      <c r="J29" s="187"/>
      <c r="K29" s="187"/>
      <c r="L29" s="187"/>
      <c r="M29" s="187"/>
      <c r="N29" s="187"/>
      <c r="O29" s="187"/>
      <c r="P29" s="187"/>
    </row>
    <row r="30" spans="1:16" ht="13.5">
      <c r="A30" s="187"/>
      <c r="B30" s="187"/>
      <c r="C30" s="187"/>
      <c r="D30" s="187"/>
      <c r="E30" s="187"/>
      <c r="F30" s="187"/>
      <c r="G30" s="187"/>
      <c r="H30" s="592"/>
      <c r="I30" s="592"/>
      <c r="J30" s="187"/>
      <c r="K30" s="187"/>
      <c r="L30" s="187"/>
      <c r="M30" s="187"/>
      <c r="N30" s="187"/>
      <c r="O30" s="187"/>
      <c r="P30" s="187"/>
    </row>
    <row r="31" spans="1:16" ht="14.25" thickBo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</row>
    <row r="32" spans="1:16" ht="19.5" customHeight="1">
      <c r="A32" s="187"/>
      <c r="B32" s="587"/>
      <c r="C32" s="588"/>
      <c r="D32" s="580" t="s">
        <v>211</v>
      </c>
      <c r="E32" s="589"/>
      <c r="F32" s="590"/>
      <c r="G32" s="591"/>
      <c r="H32" s="588"/>
      <c r="I32" s="590"/>
      <c r="J32" s="588"/>
      <c r="K32" s="590"/>
      <c r="L32" s="591"/>
      <c r="M32" s="588"/>
      <c r="N32" s="580" t="s">
        <v>243</v>
      </c>
      <c r="O32" s="581"/>
      <c r="P32" s="187"/>
    </row>
    <row r="33" spans="1:16" ht="19.5" customHeight="1">
      <c r="A33" s="187"/>
      <c r="B33" s="567" t="s">
        <v>244</v>
      </c>
      <c r="C33" s="568"/>
      <c r="D33" s="569">
        <v>0.3958333333333333</v>
      </c>
      <c r="E33" s="570"/>
      <c r="F33" s="571" t="s">
        <v>203</v>
      </c>
      <c r="G33" s="572"/>
      <c r="H33" s="568"/>
      <c r="I33" s="577" t="s">
        <v>259</v>
      </c>
      <c r="J33" s="574"/>
      <c r="K33" s="571" t="s">
        <v>245</v>
      </c>
      <c r="L33" s="572"/>
      <c r="M33" s="568"/>
      <c r="N33" s="582" t="s">
        <v>212</v>
      </c>
      <c r="O33" s="583"/>
      <c r="P33" s="187"/>
    </row>
    <row r="34" spans="1:16" ht="19.5" customHeight="1">
      <c r="A34" s="187"/>
      <c r="B34" s="567" t="s">
        <v>234</v>
      </c>
      <c r="C34" s="568"/>
      <c r="D34" s="569">
        <v>0.4166666666666667</v>
      </c>
      <c r="E34" s="570"/>
      <c r="F34" s="571" t="s">
        <v>231</v>
      </c>
      <c r="G34" s="572"/>
      <c r="H34" s="568"/>
      <c r="I34" s="577" t="s">
        <v>260</v>
      </c>
      <c r="J34" s="574"/>
      <c r="K34" s="571" t="s">
        <v>205</v>
      </c>
      <c r="L34" s="572"/>
      <c r="M34" s="568"/>
      <c r="N34" s="575" t="s">
        <v>213</v>
      </c>
      <c r="O34" s="576"/>
      <c r="P34" s="187"/>
    </row>
    <row r="35" spans="1:16" ht="19.5" customHeight="1">
      <c r="A35" s="187"/>
      <c r="B35" s="567" t="s">
        <v>246</v>
      </c>
      <c r="C35" s="568"/>
      <c r="D35" s="569">
        <v>0.4375</v>
      </c>
      <c r="E35" s="570"/>
      <c r="F35" s="571" t="s">
        <v>206</v>
      </c>
      <c r="G35" s="572"/>
      <c r="H35" s="568"/>
      <c r="I35" s="577" t="s">
        <v>261</v>
      </c>
      <c r="J35" s="574"/>
      <c r="K35" s="571" t="s">
        <v>215</v>
      </c>
      <c r="L35" s="572"/>
      <c r="M35" s="568"/>
      <c r="N35" s="575" t="s">
        <v>216</v>
      </c>
      <c r="O35" s="576"/>
      <c r="P35" s="187"/>
    </row>
    <row r="36" spans="1:16" ht="19.5" customHeight="1">
      <c r="A36" s="187"/>
      <c r="B36" s="567" t="s">
        <v>230</v>
      </c>
      <c r="C36" s="568"/>
      <c r="D36" s="569">
        <v>0.4583333333333333</v>
      </c>
      <c r="E36" s="570"/>
      <c r="F36" s="571" t="s">
        <v>247</v>
      </c>
      <c r="G36" s="572"/>
      <c r="H36" s="568"/>
      <c r="I36" s="578" t="s">
        <v>262</v>
      </c>
      <c r="J36" s="579"/>
      <c r="K36" s="571" t="s">
        <v>217</v>
      </c>
      <c r="L36" s="572"/>
      <c r="M36" s="568"/>
      <c r="N36" s="575" t="s">
        <v>218</v>
      </c>
      <c r="O36" s="576"/>
      <c r="P36" s="187"/>
    </row>
    <row r="37" spans="1:16" ht="19.5" customHeight="1">
      <c r="A37" s="187"/>
      <c r="B37" s="567" t="s">
        <v>248</v>
      </c>
      <c r="C37" s="568"/>
      <c r="D37" s="569">
        <v>0.4791666666666667</v>
      </c>
      <c r="E37" s="570"/>
      <c r="F37" s="571" t="s">
        <v>245</v>
      </c>
      <c r="G37" s="572"/>
      <c r="H37" s="568"/>
      <c r="I37" s="577" t="s">
        <v>263</v>
      </c>
      <c r="J37" s="574"/>
      <c r="K37" s="571" t="s">
        <v>231</v>
      </c>
      <c r="L37" s="572"/>
      <c r="M37" s="568"/>
      <c r="N37" s="575" t="s">
        <v>219</v>
      </c>
      <c r="O37" s="576"/>
      <c r="P37" s="187"/>
    </row>
    <row r="38" spans="1:16" ht="19.5" customHeight="1">
      <c r="A38" s="187"/>
      <c r="B38" s="567" t="s">
        <v>249</v>
      </c>
      <c r="C38" s="568"/>
      <c r="D38" s="569">
        <v>0.5</v>
      </c>
      <c r="E38" s="570"/>
      <c r="F38" s="571" t="s">
        <v>203</v>
      </c>
      <c r="G38" s="572"/>
      <c r="H38" s="568"/>
      <c r="I38" s="577" t="s">
        <v>264</v>
      </c>
      <c r="J38" s="574"/>
      <c r="K38" s="571" t="s">
        <v>205</v>
      </c>
      <c r="L38" s="572"/>
      <c r="M38" s="568"/>
      <c r="N38" s="575" t="s">
        <v>220</v>
      </c>
      <c r="O38" s="576"/>
      <c r="P38" s="187"/>
    </row>
    <row r="39" spans="1:16" ht="19.5" customHeight="1">
      <c r="A39" s="187"/>
      <c r="B39" s="567" t="s">
        <v>235</v>
      </c>
      <c r="C39" s="568"/>
      <c r="D39" s="569">
        <v>0.5208333333333334</v>
      </c>
      <c r="E39" s="570"/>
      <c r="F39" s="571" t="s">
        <v>206</v>
      </c>
      <c r="G39" s="572"/>
      <c r="H39" s="568"/>
      <c r="I39" s="577" t="s">
        <v>265</v>
      </c>
      <c r="J39" s="574"/>
      <c r="K39" s="571" t="s">
        <v>217</v>
      </c>
      <c r="L39" s="572"/>
      <c r="M39" s="568"/>
      <c r="N39" s="575" t="s">
        <v>221</v>
      </c>
      <c r="O39" s="576"/>
      <c r="P39" s="187"/>
    </row>
    <row r="40" spans="1:16" ht="19.5" customHeight="1">
      <c r="A40" s="187"/>
      <c r="B40" s="567" t="s">
        <v>233</v>
      </c>
      <c r="C40" s="568"/>
      <c r="D40" s="569">
        <v>0.5416666666666666</v>
      </c>
      <c r="E40" s="570"/>
      <c r="F40" s="571" t="s">
        <v>215</v>
      </c>
      <c r="G40" s="572"/>
      <c r="H40" s="568"/>
      <c r="I40" s="577" t="s">
        <v>266</v>
      </c>
      <c r="J40" s="574"/>
      <c r="K40" s="571" t="s">
        <v>240</v>
      </c>
      <c r="L40" s="572"/>
      <c r="M40" s="568"/>
      <c r="N40" s="575" t="s">
        <v>223</v>
      </c>
      <c r="O40" s="576"/>
      <c r="P40" s="187"/>
    </row>
    <row r="41" spans="1:16" ht="19.5" customHeight="1">
      <c r="A41" s="187"/>
      <c r="B41" s="567" t="s">
        <v>224</v>
      </c>
      <c r="C41" s="568"/>
      <c r="D41" s="569">
        <v>0.5625</v>
      </c>
      <c r="E41" s="570"/>
      <c r="F41" s="571" t="s">
        <v>245</v>
      </c>
      <c r="G41" s="572"/>
      <c r="H41" s="568"/>
      <c r="I41" s="577" t="s">
        <v>267</v>
      </c>
      <c r="J41" s="574"/>
      <c r="K41" s="571" t="s">
        <v>206</v>
      </c>
      <c r="L41" s="572"/>
      <c r="M41" s="568"/>
      <c r="N41" s="575" t="s">
        <v>225</v>
      </c>
      <c r="O41" s="576"/>
      <c r="P41" s="187"/>
    </row>
    <row r="42" spans="1:16" ht="19.5" customHeight="1">
      <c r="A42" s="187"/>
      <c r="B42" s="567" t="s">
        <v>210</v>
      </c>
      <c r="C42" s="568"/>
      <c r="D42" s="569">
        <v>0.5833333333333334</v>
      </c>
      <c r="E42" s="570"/>
      <c r="F42" s="571" t="s">
        <v>231</v>
      </c>
      <c r="G42" s="572"/>
      <c r="H42" s="568"/>
      <c r="I42" s="577" t="s">
        <v>270</v>
      </c>
      <c r="J42" s="574"/>
      <c r="K42" s="571" t="s">
        <v>217</v>
      </c>
      <c r="L42" s="572"/>
      <c r="M42" s="568"/>
      <c r="N42" s="575" t="s">
        <v>226</v>
      </c>
      <c r="O42" s="576"/>
      <c r="P42" s="187"/>
    </row>
    <row r="43" spans="1:16" ht="19.5" customHeight="1">
      <c r="A43" s="187"/>
      <c r="B43" s="567" t="s">
        <v>250</v>
      </c>
      <c r="C43" s="568"/>
      <c r="D43" s="569">
        <v>0.6041666666666666</v>
      </c>
      <c r="E43" s="570"/>
      <c r="F43" s="571" t="s">
        <v>205</v>
      </c>
      <c r="G43" s="572"/>
      <c r="H43" s="568"/>
      <c r="I43" s="573" t="s">
        <v>269</v>
      </c>
      <c r="J43" s="574"/>
      <c r="K43" s="571" t="s">
        <v>215</v>
      </c>
      <c r="L43" s="572"/>
      <c r="M43" s="568"/>
      <c r="N43" s="575" t="s">
        <v>227</v>
      </c>
      <c r="O43" s="576"/>
      <c r="P43" s="187"/>
    </row>
    <row r="44" spans="1:16" ht="19.5" customHeight="1" thickBot="1">
      <c r="A44" s="187"/>
      <c r="B44" s="558" t="s">
        <v>228</v>
      </c>
      <c r="C44" s="559"/>
      <c r="D44" s="560">
        <v>0.625</v>
      </c>
      <c r="E44" s="559"/>
      <c r="F44" s="561" t="s">
        <v>203</v>
      </c>
      <c r="G44" s="562"/>
      <c r="H44" s="563"/>
      <c r="I44" s="564" t="s">
        <v>271</v>
      </c>
      <c r="J44" s="564"/>
      <c r="K44" s="561" t="s">
        <v>240</v>
      </c>
      <c r="L44" s="562"/>
      <c r="M44" s="563"/>
      <c r="N44" s="565" t="s">
        <v>229</v>
      </c>
      <c r="O44" s="566"/>
      <c r="P44" s="187"/>
    </row>
    <row r="45" spans="1:16" ht="13.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</row>
    <row r="46" spans="1:16" ht="13.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</row>
    <row r="47" spans="1:16" ht="13.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</row>
    <row r="48" spans="1:16" ht="13.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</row>
    <row r="49" spans="1:16" ht="13.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</row>
    <row r="50" spans="1:16" ht="13.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</row>
  </sheetData>
  <sheetProtection/>
  <mergeCells count="102">
    <mergeCell ref="F13:G14"/>
    <mergeCell ref="A1:P3"/>
    <mergeCell ref="A4:D5"/>
    <mergeCell ref="H7:I8"/>
    <mergeCell ref="H9:I10"/>
    <mergeCell ref="D10:E11"/>
    <mergeCell ref="L10:M11"/>
    <mergeCell ref="H4:I5"/>
    <mergeCell ref="J13:K14"/>
    <mergeCell ref="N13:O14"/>
    <mergeCell ref="A16:B21"/>
    <mergeCell ref="C16:D21"/>
    <mergeCell ref="E16:F21"/>
    <mergeCell ref="G16:H21"/>
    <mergeCell ref="I16:J21"/>
    <mergeCell ref="K16:L21"/>
    <mergeCell ref="M16:N21"/>
    <mergeCell ref="O16:P21"/>
    <mergeCell ref="B13:C14"/>
    <mergeCell ref="D23:E24"/>
    <mergeCell ref="L23:M24"/>
    <mergeCell ref="H24:I25"/>
    <mergeCell ref="H26:I27"/>
    <mergeCell ref="B32:C32"/>
    <mergeCell ref="D32:E32"/>
    <mergeCell ref="F32:H32"/>
    <mergeCell ref="I32:J32"/>
    <mergeCell ref="K32:M32"/>
    <mergeCell ref="H29:I30"/>
    <mergeCell ref="N32:O32"/>
    <mergeCell ref="B33:C33"/>
    <mergeCell ref="D33:E33"/>
    <mergeCell ref="F33:H33"/>
    <mergeCell ref="I33:J33"/>
    <mergeCell ref="K33:M33"/>
    <mergeCell ref="N33:O33"/>
    <mergeCell ref="B34:C34"/>
    <mergeCell ref="D34:E34"/>
    <mergeCell ref="F34:H34"/>
    <mergeCell ref="I34:J34"/>
    <mergeCell ref="K34:M34"/>
    <mergeCell ref="N34:O34"/>
    <mergeCell ref="B35:C35"/>
    <mergeCell ref="D35:E35"/>
    <mergeCell ref="F35:H35"/>
    <mergeCell ref="I35:J35"/>
    <mergeCell ref="K35:M35"/>
    <mergeCell ref="N35:O35"/>
    <mergeCell ref="B36:C36"/>
    <mergeCell ref="D36:E36"/>
    <mergeCell ref="F36:H36"/>
    <mergeCell ref="I36:J36"/>
    <mergeCell ref="K36:M36"/>
    <mergeCell ref="N36:O36"/>
    <mergeCell ref="B37:C37"/>
    <mergeCell ref="D37:E37"/>
    <mergeCell ref="F37:H37"/>
    <mergeCell ref="I37:J37"/>
    <mergeCell ref="K37:M37"/>
    <mergeCell ref="N37:O37"/>
    <mergeCell ref="B38:C38"/>
    <mergeCell ref="D38:E38"/>
    <mergeCell ref="F38:H38"/>
    <mergeCell ref="I38:J38"/>
    <mergeCell ref="K38:M38"/>
    <mergeCell ref="N38:O38"/>
    <mergeCell ref="B39:C39"/>
    <mergeCell ref="D39:E39"/>
    <mergeCell ref="F39:H39"/>
    <mergeCell ref="I39:J39"/>
    <mergeCell ref="K39:M39"/>
    <mergeCell ref="N39:O39"/>
    <mergeCell ref="B40:C40"/>
    <mergeCell ref="D40:E40"/>
    <mergeCell ref="F40:H40"/>
    <mergeCell ref="I40:J40"/>
    <mergeCell ref="K40:M40"/>
    <mergeCell ref="N40:O40"/>
    <mergeCell ref="B41:C41"/>
    <mergeCell ref="D41:E41"/>
    <mergeCell ref="F41:H41"/>
    <mergeCell ref="I41:J41"/>
    <mergeCell ref="K41:M41"/>
    <mergeCell ref="N41:O41"/>
    <mergeCell ref="B42:C42"/>
    <mergeCell ref="D42:E42"/>
    <mergeCell ref="F42:H42"/>
    <mergeCell ref="I42:J42"/>
    <mergeCell ref="K42:M42"/>
    <mergeCell ref="N42:O42"/>
    <mergeCell ref="B43:C43"/>
    <mergeCell ref="D43:E43"/>
    <mergeCell ref="F43:H43"/>
    <mergeCell ref="I43:J43"/>
    <mergeCell ref="K43:M43"/>
    <mergeCell ref="N43:O43"/>
    <mergeCell ref="B44:C44"/>
    <mergeCell ref="D44:E44"/>
    <mergeCell ref="F44:H44"/>
    <mergeCell ref="I44:J44"/>
    <mergeCell ref="K44:M44"/>
    <mergeCell ref="N44:O4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jn1565</dc:creator>
  <cp:keywords/>
  <dc:description/>
  <cp:lastModifiedBy>藤本全志</cp:lastModifiedBy>
  <cp:lastPrinted>2017-08-05T08:30:18Z</cp:lastPrinted>
  <dcterms:created xsi:type="dcterms:W3CDTF">2001-10-08T10:18:06Z</dcterms:created>
  <dcterms:modified xsi:type="dcterms:W3CDTF">2017-08-06T11:09:49Z</dcterms:modified>
  <cp:category/>
  <cp:version/>
  <cp:contentType/>
  <cp:contentStatus/>
</cp:coreProperties>
</file>